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workbookProtection workbookPassword="83C1" lockStructure="1"/>
  <bookViews>
    <workbookView showSheetTabs="0" xWindow="120" yWindow="300" windowWidth="12120" windowHeight="8145" activeTab="4"/>
  </bookViews>
  <sheets>
    <sheet name="מקרא" sheetId="53" r:id="rId1"/>
    <sheet name="תוכן הענינים" sheetId="66" r:id="rId2"/>
    <sheet name="הגדרות כלליות" sheetId="64" r:id="rId3"/>
    <sheet name="בדיקות הצלבה" sheetId="65" r:id="rId4"/>
    <sheet name="תמצית מאזן" sheetId="54" r:id="rId5"/>
    <sheet name="תקציב רגיל" sheetId="55" r:id="rId6"/>
    <sheet name="תברים" sheetId="56" r:id="rId7"/>
    <sheet name="ריכוז תברים" sheetId="57" r:id="rId8"/>
    <sheet name="גבייה וחייבים" sheetId="58" r:id="rId9"/>
    <sheet name="ארנונה" sheetId="59" r:id="rId10"/>
    <sheet name="שכר ומשרות" sheetId="60" r:id="rId11"/>
    <sheet name="בעלי שכר גבוה" sheetId="61" r:id="rId12"/>
    <sheet name="הערות הרשות" sheetId="62" r:id="rId13"/>
    <sheet name="ביאורים 1, 2 א-ב ישן" sheetId="10" state="hidden" r:id="rId14"/>
  </sheets>
  <definedNames>
    <definedName name="BikoretCode">'הגדרות כלליות'!$G$26</definedName>
    <definedName name="Date">'הגדרות כלליות'!$O$4</definedName>
    <definedName name="GufMevukar">'הגדרות כלליות'!$D$9</definedName>
    <definedName name="Ishur">'הגדרות כלליות'!$G$30</definedName>
    <definedName name="Month">'הגדרות כלליות'!$O$3</definedName>
    <definedName name="MonthTitle">'הגדרות כלליות'!$O$5</definedName>
    <definedName name="_xlnm.Print_Area" localSheetId="9">ארנונה!$B$300:$O$326</definedName>
    <definedName name="_xlnm.Print_Area" localSheetId="3">'בדיקות הצלבה'!$A$4:$M$423</definedName>
    <definedName name="_xlnm.Print_Area" localSheetId="13">'ביאורים 1, 2 א-ב ישן'!$A$5:$I$71</definedName>
    <definedName name="_xlnm.Print_Area" localSheetId="11">'בעלי שכר גבוה'!$B$299:$X$338</definedName>
    <definedName name="_xlnm.Print_Area" localSheetId="8">'גבייה וחייבים'!$B$303:$M$345</definedName>
    <definedName name="_xlnm.Print_Area" localSheetId="2">'הגדרות כלליות'!$B$6:$I$31</definedName>
    <definedName name="_xlnm.Print_Area" localSheetId="0">מקרא!$B$6:$G$19</definedName>
    <definedName name="_xlnm.Print_Area" localSheetId="7">'ריכוז תברים'!$B$305:$X$343</definedName>
    <definedName name="_xlnm.Print_Area" localSheetId="10">'שכר ומשרות'!$B$305:$P$360</definedName>
    <definedName name="_xlnm.Print_Area" localSheetId="6">תברים!$B$303:$F$364</definedName>
    <definedName name="_xlnm.Print_Area" localSheetId="1">'תוכן הענינים'!$B$6:$H$22</definedName>
    <definedName name="_xlnm.Print_Area" localSheetId="4">'תמצית מאזן'!$B$313:$G$402</definedName>
    <definedName name="_xlnm.Print_Area" localSheetId="5">'תקציב רגיל'!$B$314:$L$375</definedName>
    <definedName name="ReportPeriod">'הגדרות כלליות'!$O$2</definedName>
    <definedName name="Shana">'הגדרות כלליות'!$D$11</definedName>
    <definedName name="ShanaKodemet">'הגדרות כלליות'!$D$13</definedName>
    <definedName name="טופס1">'תמצית מאזן'!$B$319:$F$368</definedName>
    <definedName name="טופס1ב">'תמצית מאזן'!$B$375:$F$400</definedName>
    <definedName name="טופס2">'תקציב רגיל'!$B$319:$K$371</definedName>
    <definedName name="טופס3">תברים!$B$308:$F$361</definedName>
    <definedName name="טופס4">'ריכוז תברים'!$B$310:$X$341</definedName>
    <definedName name="טופס5">'גבייה וחייבים'!$B$309:$M$342</definedName>
    <definedName name="טופס6">ארנונה!$B$304:$O$321</definedName>
    <definedName name="טופס7">'שכר ומשרות'!$B$311:$P$356</definedName>
    <definedName name="טופס8">'בעלי שכר גבוה'!$B$306:$X$336</definedName>
  </definedNames>
  <calcPr calcId="145621"/>
</workbook>
</file>

<file path=xl/calcChain.xml><?xml version="1.0" encoding="utf-8"?>
<calcChain xmlns="http://schemas.openxmlformats.org/spreadsheetml/2006/main">
  <c r="D79" i="54" l="1"/>
  <c r="D75" i="54"/>
  <c r="D77" i="54"/>
  <c r="D78" i="54"/>
  <c r="D36" i="54"/>
  <c r="D11" i="54" l="1"/>
  <c r="D10" i="54"/>
  <c r="D35" i="54"/>
  <c r="D38" i="54"/>
  <c r="D41" i="54"/>
  <c r="F10" i="54"/>
  <c r="D34" i="54"/>
  <c r="D13" i="54"/>
  <c r="D9" i="54"/>
  <c r="D58" i="54"/>
  <c r="F79" i="54"/>
  <c r="F34" i="54"/>
  <c r="F36" i="54"/>
  <c r="F35" i="54"/>
  <c r="F13" i="54" l="1"/>
  <c r="J34" i="57"/>
  <c r="H34" i="57"/>
  <c r="D34" i="56"/>
  <c r="F34" i="56"/>
  <c r="F25" i="56"/>
  <c r="I38" i="58"/>
  <c r="C10" i="58"/>
  <c r="C12" i="58"/>
  <c r="C20" i="58"/>
  <c r="I37" i="58"/>
  <c r="C19" i="58"/>
  <c r="E13" i="59" l="1"/>
  <c r="G13" i="59"/>
  <c r="G12" i="59"/>
  <c r="E12" i="59"/>
  <c r="C13" i="59"/>
  <c r="G15" i="55" l="1"/>
  <c r="G33" i="55"/>
  <c r="C25" i="58" l="1"/>
  <c r="C13" i="58" l="1"/>
  <c r="C21" i="58"/>
  <c r="I12" i="58"/>
  <c r="I20" i="58"/>
  <c r="M20" i="58"/>
  <c r="G20" i="58"/>
  <c r="L24" i="60"/>
  <c r="L18" i="60"/>
  <c r="L15" i="60"/>
  <c r="J15" i="60"/>
  <c r="G40" i="55"/>
  <c r="G32" i="55"/>
  <c r="G18" i="55"/>
  <c r="G37" i="55"/>
  <c r="G23" i="55"/>
  <c r="G20" i="55"/>
  <c r="G38" i="55"/>
  <c r="C15" i="55"/>
  <c r="I9" i="58" l="1"/>
  <c r="D45" i="56" l="1"/>
  <c r="D44" i="56"/>
  <c r="I22" i="59" l="1"/>
  <c r="I7" i="59"/>
  <c r="E349" i="65" s="1"/>
  <c r="I8" i="59"/>
  <c r="I307" i="59" s="1"/>
  <c r="I9" i="59"/>
  <c r="I308" i="59" s="1"/>
  <c r="I10" i="59"/>
  <c r="I309" i="59" s="1"/>
  <c r="I11" i="59"/>
  <c r="M11" i="59" s="1"/>
  <c r="M310" i="59" s="1"/>
  <c r="I12" i="59"/>
  <c r="I311" i="59" s="1"/>
  <c r="I13" i="59"/>
  <c r="E355" i="65" s="1"/>
  <c r="I14" i="59"/>
  <c r="I15" i="59"/>
  <c r="I314" i="59" s="1"/>
  <c r="I16" i="59"/>
  <c r="I315" i="59" s="1"/>
  <c r="I17" i="59"/>
  <c r="I18" i="59"/>
  <c r="I317" i="59" s="1"/>
  <c r="I6" i="59"/>
  <c r="I305" i="59" s="1"/>
  <c r="O19" i="59"/>
  <c r="I156" i="65" s="1"/>
  <c r="B326" i="59"/>
  <c r="P322" i="59"/>
  <c r="O322" i="59"/>
  <c r="N322" i="59"/>
  <c r="M322" i="59"/>
  <c r="L322" i="59"/>
  <c r="K322" i="59"/>
  <c r="J322" i="59"/>
  <c r="I322" i="59"/>
  <c r="H322" i="59"/>
  <c r="G322" i="59"/>
  <c r="F322" i="59"/>
  <c r="E322" i="59"/>
  <c r="D322" i="59"/>
  <c r="C322" i="59"/>
  <c r="B322" i="59"/>
  <c r="P321" i="59"/>
  <c r="O321" i="59"/>
  <c r="N321" i="59"/>
  <c r="M22" i="59"/>
  <c r="M321" i="59"/>
  <c r="L321" i="59"/>
  <c r="K321" i="59"/>
  <c r="J321" i="59"/>
  <c r="I321" i="59"/>
  <c r="H321" i="59"/>
  <c r="G321" i="59"/>
  <c r="F321" i="59"/>
  <c r="E321" i="59"/>
  <c r="D321" i="59"/>
  <c r="C321" i="59"/>
  <c r="B321" i="59"/>
  <c r="P320" i="59"/>
  <c r="O320" i="59"/>
  <c r="N320" i="59"/>
  <c r="M320" i="59"/>
  <c r="L320" i="59"/>
  <c r="K320" i="59"/>
  <c r="J320" i="59"/>
  <c r="I320" i="59"/>
  <c r="H320" i="59"/>
  <c r="G320" i="59"/>
  <c r="F320" i="59"/>
  <c r="E320" i="59"/>
  <c r="D320" i="59"/>
  <c r="C320" i="59"/>
  <c r="B320" i="59"/>
  <c r="P319" i="59"/>
  <c r="O319" i="59"/>
  <c r="N319" i="59"/>
  <c r="M319" i="59"/>
  <c r="L319" i="59"/>
  <c r="K319" i="59"/>
  <c r="J319" i="59"/>
  <c r="I319" i="59"/>
  <c r="H319" i="59"/>
  <c r="G319" i="59"/>
  <c r="F319" i="59"/>
  <c r="E319" i="59"/>
  <c r="D319" i="59"/>
  <c r="C319" i="59"/>
  <c r="B319" i="59"/>
  <c r="P318" i="59"/>
  <c r="N318" i="59"/>
  <c r="M318" i="59"/>
  <c r="L318" i="59"/>
  <c r="K318" i="59"/>
  <c r="J318" i="59"/>
  <c r="I318" i="59"/>
  <c r="H318" i="59"/>
  <c r="G318" i="59"/>
  <c r="F318" i="59"/>
  <c r="E318" i="59"/>
  <c r="D318" i="59"/>
  <c r="C19" i="59"/>
  <c r="C318" i="59" s="1"/>
  <c r="B318" i="59"/>
  <c r="P317" i="59"/>
  <c r="O317" i="59"/>
  <c r="N317" i="59"/>
  <c r="M18" i="59"/>
  <c r="M317" i="59" s="1"/>
  <c r="L317" i="59"/>
  <c r="K317" i="59"/>
  <c r="J317" i="59"/>
  <c r="H317" i="59"/>
  <c r="G317" i="59"/>
  <c r="F317" i="59"/>
  <c r="E317" i="59"/>
  <c r="D317" i="59"/>
  <c r="C317" i="59"/>
  <c r="B317" i="59"/>
  <c r="P316" i="59"/>
  <c r="O316" i="59"/>
  <c r="N316" i="59"/>
  <c r="M17" i="59"/>
  <c r="M316" i="59" s="1"/>
  <c r="L316" i="59"/>
  <c r="K316" i="59"/>
  <c r="J316" i="59"/>
  <c r="I316" i="59"/>
  <c r="H316" i="59"/>
  <c r="G316" i="59"/>
  <c r="F316" i="59"/>
  <c r="E316" i="59"/>
  <c r="D316" i="59"/>
  <c r="C316" i="59"/>
  <c r="B316" i="59"/>
  <c r="P315" i="59"/>
  <c r="O315" i="59"/>
  <c r="N315" i="59"/>
  <c r="M16" i="59"/>
  <c r="M315" i="59" s="1"/>
  <c r="L315" i="59"/>
  <c r="K315" i="59"/>
  <c r="J315" i="59"/>
  <c r="H315" i="59"/>
  <c r="G315" i="59"/>
  <c r="F315" i="59"/>
  <c r="E315" i="59"/>
  <c r="D315" i="59"/>
  <c r="C315" i="59"/>
  <c r="B315" i="59"/>
  <c r="P314" i="59"/>
  <c r="O314" i="59"/>
  <c r="N314" i="59"/>
  <c r="M15" i="59"/>
  <c r="M314" i="59" s="1"/>
  <c r="L314" i="59"/>
  <c r="K314" i="59"/>
  <c r="J314" i="59"/>
  <c r="H314" i="59"/>
  <c r="G314" i="59"/>
  <c r="F314" i="59"/>
  <c r="E314" i="59"/>
  <c r="D314" i="59"/>
  <c r="C314" i="59"/>
  <c r="B314" i="59"/>
  <c r="P313" i="59"/>
  <c r="O313" i="59"/>
  <c r="N313" i="59"/>
  <c r="M14" i="59"/>
  <c r="M313" i="59" s="1"/>
  <c r="L313" i="59"/>
  <c r="K313" i="59"/>
  <c r="J313" i="59"/>
  <c r="I313" i="59"/>
  <c r="H313" i="59"/>
  <c r="G313" i="59"/>
  <c r="F313" i="59"/>
  <c r="E313" i="59"/>
  <c r="D313" i="59"/>
  <c r="C313" i="59"/>
  <c r="B313" i="59"/>
  <c r="P312" i="59"/>
  <c r="O312" i="59"/>
  <c r="N312" i="59"/>
  <c r="M13" i="59"/>
  <c r="M312" i="59" s="1"/>
  <c r="L312" i="59"/>
  <c r="K312" i="59"/>
  <c r="J312" i="59"/>
  <c r="I312" i="59"/>
  <c r="H312" i="59"/>
  <c r="G312" i="59"/>
  <c r="F312" i="59"/>
  <c r="E312" i="59"/>
  <c r="D312" i="59"/>
  <c r="C312" i="59"/>
  <c r="B312" i="59"/>
  <c r="P311" i="59"/>
  <c r="O311" i="59"/>
  <c r="N311" i="59"/>
  <c r="L311" i="59"/>
  <c r="K311" i="59"/>
  <c r="J311" i="59"/>
  <c r="H311" i="59"/>
  <c r="G311" i="59"/>
  <c r="F311" i="59"/>
  <c r="E311" i="59"/>
  <c r="D311" i="59"/>
  <c r="C311" i="59"/>
  <c r="B311" i="59"/>
  <c r="P310" i="59"/>
  <c r="O310" i="59"/>
  <c r="N310" i="59"/>
  <c r="L310" i="59"/>
  <c r="K310" i="59"/>
  <c r="J310" i="59"/>
  <c r="H310" i="59"/>
  <c r="G310" i="59"/>
  <c r="F310" i="59"/>
  <c r="E310" i="59"/>
  <c r="D310" i="59"/>
  <c r="C310" i="59"/>
  <c r="B310" i="59"/>
  <c r="P309" i="59"/>
  <c r="O309" i="59"/>
  <c r="N309" i="59"/>
  <c r="L309" i="59"/>
  <c r="K309" i="59"/>
  <c r="J309" i="59"/>
  <c r="H309" i="59"/>
  <c r="G309" i="59"/>
  <c r="F309" i="59"/>
  <c r="E309" i="59"/>
  <c r="D309" i="59"/>
  <c r="C309" i="59"/>
  <c r="B309" i="59"/>
  <c r="P308" i="59"/>
  <c r="O308" i="59"/>
  <c r="N308" i="59"/>
  <c r="L308" i="59"/>
  <c r="K308" i="59"/>
  <c r="J308" i="59"/>
  <c r="H308" i="59"/>
  <c r="G308" i="59"/>
  <c r="F308" i="59"/>
  <c r="E308" i="59"/>
  <c r="D308" i="59"/>
  <c r="C308" i="59"/>
  <c r="B308" i="59"/>
  <c r="P307" i="59"/>
  <c r="O307" i="59"/>
  <c r="N307" i="59"/>
  <c r="M8" i="59"/>
  <c r="M307" i="59" s="1"/>
  <c r="L307" i="59"/>
  <c r="K307" i="59"/>
  <c r="J307" i="59"/>
  <c r="H307" i="59"/>
  <c r="G307" i="59"/>
  <c r="F307" i="59"/>
  <c r="E307" i="59"/>
  <c r="D307" i="59"/>
  <c r="C307" i="59"/>
  <c r="B307" i="59"/>
  <c r="P306" i="59"/>
  <c r="O306" i="59"/>
  <c r="N306" i="59"/>
  <c r="M7" i="59"/>
  <c r="M306" i="59" s="1"/>
  <c r="L306" i="59"/>
  <c r="K306" i="59"/>
  <c r="J306" i="59"/>
  <c r="I306" i="59"/>
  <c r="H306" i="59"/>
  <c r="G306" i="59"/>
  <c r="F306" i="59"/>
  <c r="E306" i="59"/>
  <c r="D306" i="59"/>
  <c r="C306" i="59"/>
  <c r="B306" i="59"/>
  <c r="P305" i="59"/>
  <c r="O305" i="59"/>
  <c r="N305" i="59"/>
  <c r="L305" i="59"/>
  <c r="K305" i="59"/>
  <c r="J305" i="59"/>
  <c r="H305" i="59"/>
  <c r="G305" i="59"/>
  <c r="F305" i="59"/>
  <c r="E305" i="59"/>
  <c r="D305" i="59"/>
  <c r="C305" i="59"/>
  <c r="B305" i="59"/>
  <c r="P304" i="59"/>
  <c r="O304" i="59"/>
  <c r="N304" i="59"/>
  <c r="M304" i="59"/>
  <c r="L304" i="59"/>
  <c r="K304" i="59"/>
  <c r="J304" i="59"/>
  <c r="I304" i="59"/>
  <c r="H304" i="59"/>
  <c r="G304" i="59"/>
  <c r="F304" i="59"/>
  <c r="E304" i="59"/>
  <c r="D304" i="59"/>
  <c r="C304" i="59"/>
  <c r="B304" i="59"/>
  <c r="P303" i="59"/>
  <c r="O303" i="59"/>
  <c r="N303" i="59"/>
  <c r="M303" i="59"/>
  <c r="L303" i="59"/>
  <c r="K303" i="59"/>
  <c r="J303" i="59"/>
  <c r="I303" i="59"/>
  <c r="H303" i="59"/>
  <c r="G303" i="59"/>
  <c r="F303" i="59"/>
  <c r="E303" i="59"/>
  <c r="D303" i="59"/>
  <c r="C303" i="59"/>
  <c r="B303" i="59"/>
  <c r="P302" i="59"/>
  <c r="O302" i="59"/>
  <c r="O2" i="64"/>
  <c r="C3" i="59" s="1"/>
  <c r="C302" i="59" s="1"/>
  <c r="P301" i="59"/>
  <c r="O301" i="59"/>
  <c r="C301" i="59"/>
  <c r="P300" i="59"/>
  <c r="O300" i="59"/>
  <c r="C1" i="59"/>
  <c r="C300" i="59" s="1"/>
  <c r="L39" i="60"/>
  <c r="E415" i="65" s="1"/>
  <c r="E416" i="65"/>
  <c r="E418" i="65"/>
  <c r="F3" i="65"/>
  <c r="D350" i="65" s="1"/>
  <c r="E384" i="65"/>
  <c r="I384" i="65"/>
  <c r="I405" i="65"/>
  <c r="E405" i="65"/>
  <c r="I47" i="65"/>
  <c r="I49" i="65"/>
  <c r="I410" i="65"/>
  <c r="I27" i="65"/>
  <c r="D13" i="64"/>
  <c r="D27" i="65" s="1"/>
  <c r="E361" i="65"/>
  <c r="J361" i="65" s="1"/>
  <c r="E353" i="65"/>
  <c r="L353" i="65" s="1"/>
  <c r="E356" i="65"/>
  <c r="J356" i="65" s="1"/>
  <c r="E358" i="65"/>
  <c r="J358" i="65" s="1"/>
  <c r="E359" i="65"/>
  <c r="E364" i="65"/>
  <c r="I364" i="65"/>
  <c r="E225" i="65"/>
  <c r="L225" i="65" s="1"/>
  <c r="E223" i="65"/>
  <c r="J223" i="65"/>
  <c r="L223" i="65"/>
  <c r="E222" i="65"/>
  <c r="J222" i="65" s="1"/>
  <c r="E221" i="65"/>
  <c r="E220" i="65"/>
  <c r="J220" i="65" s="1"/>
  <c r="E219" i="65"/>
  <c r="J219" i="65" s="1"/>
  <c r="E218" i="65"/>
  <c r="J218" i="65" s="1"/>
  <c r="E217" i="65"/>
  <c r="E215" i="65"/>
  <c r="J215" i="65" s="1"/>
  <c r="E214" i="65"/>
  <c r="L214" i="65" s="1"/>
  <c r="E213" i="65"/>
  <c r="J213" i="65" s="1"/>
  <c r="E212" i="65"/>
  <c r="E211" i="65"/>
  <c r="J211" i="65" s="1"/>
  <c r="E210" i="65"/>
  <c r="L210" i="65" s="1"/>
  <c r="E209" i="65"/>
  <c r="L209" i="65" s="1"/>
  <c r="J209" i="65"/>
  <c r="E208" i="65"/>
  <c r="E207" i="65"/>
  <c r="J207" i="65" s="1"/>
  <c r="E205" i="65"/>
  <c r="J205" i="65" s="1"/>
  <c r="E204" i="65"/>
  <c r="L204" i="65" s="1"/>
  <c r="E203" i="65"/>
  <c r="E202" i="65"/>
  <c r="J202" i="65" s="1"/>
  <c r="E201" i="65"/>
  <c r="J201" i="65" s="1"/>
  <c r="E200" i="65"/>
  <c r="J200" i="65" s="1"/>
  <c r="L200" i="65"/>
  <c r="E199" i="65"/>
  <c r="E198" i="65"/>
  <c r="J198" i="65" s="1"/>
  <c r="L198" i="65"/>
  <c r="E197" i="65"/>
  <c r="L197" i="65" s="1"/>
  <c r="E196" i="65"/>
  <c r="J196" i="65" s="1"/>
  <c r="E195" i="65"/>
  <c r="E194" i="65"/>
  <c r="J194" i="65" s="1"/>
  <c r="E192" i="65"/>
  <c r="L192" i="65" s="1"/>
  <c r="E191" i="65"/>
  <c r="L191" i="65" s="1"/>
  <c r="E190" i="65"/>
  <c r="E189" i="65"/>
  <c r="J189" i="65" s="1"/>
  <c r="E188" i="65"/>
  <c r="J188" i="65" s="1"/>
  <c r="E187" i="65"/>
  <c r="L187" i="65" s="1"/>
  <c r="E186" i="65"/>
  <c r="E185" i="65"/>
  <c r="J185" i="65" s="1"/>
  <c r="E184" i="65"/>
  <c r="J184" i="65" s="1"/>
  <c r="E183" i="65"/>
  <c r="J183" i="65" s="1"/>
  <c r="E182" i="65"/>
  <c r="E43" i="65"/>
  <c r="E32" i="65"/>
  <c r="I32" i="65"/>
  <c r="I33" i="65"/>
  <c r="E35" i="65"/>
  <c r="I35" i="65"/>
  <c r="I36" i="65"/>
  <c r="E25" i="65"/>
  <c r="E26" i="65"/>
  <c r="I26" i="65"/>
  <c r="J26" i="65" s="1"/>
  <c r="E56" i="65"/>
  <c r="I56" i="65"/>
  <c r="E54" i="65"/>
  <c r="E52" i="65"/>
  <c r="L52" i="65" s="1"/>
  <c r="T8" i="61"/>
  <c r="X8" i="61" s="1"/>
  <c r="Z8" i="61" s="1"/>
  <c r="Z306" i="61" s="1"/>
  <c r="T9" i="61"/>
  <c r="X9" i="61" s="1"/>
  <c r="Z9" i="61" s="1"/>
  <c r="T10" i="61"/>
  <c r="X10" i="61" s="1"/>
  <c r="T11" i="61"/>
  <c r="X11" i="61" s="1"/>
  <c r="T12" i="61"/>
  <c r="X12" i="61" s="1"/>
  <c r="T13" i="61"/>
  <c r="X13" i="61" s="1"/>
  <c r="Z13" i="61" s="1"/>
  <c r="T14" i="61"/>
  <c r="X14" i="61" s="1"/>
  <c r="T15" i="61"/>
  <c r="X15" i="61" s="1"/>
  <c r="Z15" i="61" s="1"/>
  <c r="Z313" i="61" s="1"/>
  <c r="T16" i="61"/>
  <c r="X16" i="61" s="1"/>
  <c r="T17" i="61"/>
  <c r="X17" i="61" s="1"/>
  <c r="Z17" i="61" s="1"/>
  <c r="T18" i="61"/>
  <c r="X18" i="61" s="1"/>
  <c r="T19" i="61"/>
  <c r="X19" i="61" s="1"/>
  <c r="T20" i="61"/>
  <c r="X20" i="61"/>
  <c r="Z20" i="61" s="1"/>
  <c r="Z318" i="61" s="1"/>
  <c r="T21" i="61"/>
  <c r="X21" i="61" s="1"/>
  <c r="Z21" i="61" s="1"/>
  <c r="T22" i="61"/>
  <c r="X22" i="61" s="1"/>
  <c r="T23" i="61"/>
  <c r="X23" i="61" s="1"/>
  <c r="Z23" i="61" s="1"/>
  <c r="Z321" i="61" s="1"/>
  <c r="T24" i="61"/>
  <c r="X24" i="61"/>
  <c r="Z24" i="61"/>
  <c r="T25" i="61"/>
  <c r="X25" i="61" s="1"/>
  <c r="Z25" i="61" s="1"/>
  <c r="T26" i="61"/>
  <c r="X26" i="61" s="1"/>
  <c r="T27" i="61"/>
  <c r="X27" i="61"/>
  <c r="Z27" i="61" s="1"/>
  <c r="Z325" i="61" s="1"/>
  <c r="T28" i="61"/>
  <c r="X28" i="61" s="1"/>
  <c r="Z28" i="61" s="1"/>
  <c r="Z326" i="61" s="1"/>
  <c r="T29" i="61"/>
  <c r="X29" i="61" s="1"/>
  <c r="Z29" i="61" s="1"/>
  <c r="T30" i="61"/>
  <c r="X30" i="61" s="1"/>
  <c r="Z30" i="61" s="1"/>
  <c r="Z328" i="61" s="1"/>
  <c r="T31" i="61"/>
  <c r="X31" i="61"/>
  <c r="Z31" i="61" s="1"/>
  <c r="Z329" i="61" s="1"/>
  <c r="T32" i="61"/>
  <c r="X32" i="61" s="1"/>
  <c r="Z32" i="61" s="1"/>
  <c r="Z330" i="61" s="1"/>
  <c r="T33" i="61"/>
  <c r="X33" i="61" s="1"/>
  <c r="Z33" i="61" s="1"/>
  <c r="T34" i="61"/>
  <c r="X34" i="61" s="1"/>
  <c r="T35" i="61"/>
  <c r="X35" i="61"/>
  <c r="Z35" i="61"/>
  <c r="T36" i="61"/>
  <c r="X36" i="61" s="1"/>
  <c r="Z36" i="61" s="1"/>
  <c r="Z334" i="61" s="1"/>
  <c r="T37" i="61"/>
  <c r="X37" i="61" s="1"/>
  <c r="Z37" i="61" s="1"/>
  <c r="Y8" i="61"/>
  <c r="Y306" i="61" s="1"/>
  <c r="Y9" i="61"/>
  <c r="Y10" i="61"/>
  <c r="Y11" i="61"/>
  <c r="Y309" i="61" s="1"/>
  <c r="Y12" i="61"/>
  <c r="Y310" i="61" s="1"/>
  <c r="Y13" i="61"/>
  <c r="Y14" i="61"/>
  <c r="Y15" i="61"/>
  <c r="Y16" i="61"/>
  <c r="Y17" i="61"/>
  <c r="Y18" i="61"/>
  <c r="Y19" i="61"/>
  <c r="Y20" i="61"/>
  <c r="Y21" i="61"/>
  <c r="Y22" i="61"/>
  <c r="Y23" i="61"/>
  <c r="Y24" i="61"/>
  <c r="Y25" i="61"/>
  <c r="Y26" i="61"/>
  <c r="Y27" i="61"/>
  <c r="Y28" i="61"/>
  <c r="Y29" i="61"/>
  <c r="Y30" i="61"/>
  <c r="Y31" i="61"/>
  <c r="Y32" i="61"/>
  <c r="Y33" i="61"/>
  <c r="Y331" i="61" s="1"/>
  <c r="Y34" i="61"/>
  <c r="Y35" i="61"/>
  <c r="Y36" i="61"/>
  <c r="Y37" i="61"/>
  <c r="Y335" i="61" s="1"/>
  <c r="I419" i="65"/>
  <c r="E410" i="65"/>
  <c r="J410" i="65" s="1"/>
  <c r="I404" i="65"/>
  <c r="E404" i="65"/>
  <c r="I403" i="65"/>
  <c r="E403" i="65"/>
  <c r="I402" i="65"/>
  <c r="E402" i="65"/>
  <c r="I401" i="65"/>
  <c r="E401" i="65"/>
  <c r="J401" i="65" s="1"/>
  <c r="I400" i="65"/>
  <c r="E400" i="65"/>
  <c r="I399" i="65"/>
  <c r="E399" i="65"/>
  <c r="I398" i="65"/>
  <c r="E398" i="65"/>
  <c r="I397" i="65"/>
  <c r="E397" i="65"/>
  <c r="J397" i="65" s="1"/>
  <c r="I396" i="65"/>
  <c r="E396" i="65"/>
  <c r="E395" i="65"/>
  <c r="E394" i="65"/>
  <c r="I393" i="65"/>
  <c r="E393" i="65"/>
  <c r="I392" i="65"/>
  <c r="E392" i="65"/>
  <c r="E391" i="65"/>
  <c r="I390" i="65"/>
  <c r="E390" i="65"/>
  <c r="I389" i="65"/>
  <c r="E389" i="65"/>
  <c r="E388" i="65"/>
  <c r="I387" i="65"/>
  <c r="E387" i="65"/>
  <c r="I385" i="65"/>
  <c r="E385" i="65"/>
  <c r="I383" i="65"/>
  <c r="E383" i="65"/>
  <c r="I382" i="65"/>
  <c r="E382" i="65"/>
  <c r="I381" i="65"/>
  <c r="E381" i="65"/>
  <c r="I380" i="65"/>
  <c r="E380" i="65"/>
  <c r="I379" i="65"/>
  <c r="E379" i="65"/>
  <c r="I378" i="65"/>
  <c r="E378" i="65"/>
  <c r="I377" i="65"/>
  <c r="E377" i="65"/>
  <c r="I376" i="65"/>
  <c r="E376" i="65"/>
  <c r="I375" i="65"/>
  <c r="E375" i="65"/>
  <c r="I374" i="65"/>
  <c r="E374" i="65"/>
  <c r="I373" i="65"/>
  <c r="E373" i="65"/>
  <c r="I372" i="65"/>
  <c r="E372" i="65"/>
  <c r="I371" i="65"/>
  <c r="E371" i="65"/>
  <c r="E370" i="65"/>
  <c r="I369" i="65"/>
  <c r="E369" i="65"/>
  <c r="I368" i="65"/>
  <c r="E368" i="65"/>
  <c r="E367" i="65"/>
  <c r="I366" i="65"/>
  <c r="E366" i="65"/>
  <c r="E365" i="65"/>
  <c r="L346" i="65"/>
  <c r="J346" i="65"/>
  <c r="E346" i="65"/>
  <c r="L345" i="65"/>
  <c r="J345" i="65"/>
  <c r="E345" i="65"/>
  <c r="L344" i="65"/>
  <c r="J344" i="65"/>
  <c r="E344" i="65"/>
  <c r="L343" i="65"/>
  <c r="J343" i="65"/>
  <c r="E343" i="65"/>
  <c r="L342" i="65"/>
  <c r="J342" i="65"/>
  <c r="E342" i="65"/>
  <c r="L341" i="65"/>
  <c r="J341" i="65"/>
  <c r="E341" i="65"/>
  <c r="L340" i="65"/>
  <c r="J340" i="65"/>
  <c r="E340" i="65"/>
  <c r="L339" i="65"/>
  <c r="J339" i="65"/>
  <c r="E339" i="65"/>
  <c r="L338" i="65"/>
  <c r="J338" i="65"/>
  <c r="E338" i="65"/>
  <c r="L337" i="65"/>
  <c r="J337" i="65"/>
  <c r="E337" i="65"/>
  <c r="L336" i="65"/>
  <c r="J336" i="65"/>
  <c r="E336" i="65"/>
  <c r="L335" i="65"/>
  <c r="J335" i="65"/>
  <c r="E335" i="65"/>
  <c r="L334" i="65"/>
  <c r="J334" i="65"/>
  <c r="E334" i="65"/>
  <c r="L333" i="65"/>
  <c r="J333" i="65"/>
  <c r="E333" i="65"/>
  <c r="L331" i="65"/>
  <c r="J331" i="65"/>
  <c r="E331" i="65"/>
  <c r="L330" i="65"/>
  <c r="J330" i="65"/>
  <c r="E330" i="65"/>
  <c r="L329" i="65"/>
  <c r="J329" i="65"/>
  <c r="E329" i="65"/>
  <c r="L328" i="65"/>
  <c r="J328" i="65"/>
  <c r="E328" i="65"/>
  <c r="L327" i="65"/>
  <c r="J327" i="65"/>
  <c r="E327" i="65"/>
  <c r="L326" i="65"/>
  <c r="J326" i="65"/>
  <c r="E326" i="65"/>
  <c r="L325" i="65"/>
  <c r="J325" i="65"/>
  <c r="E325" i="65"/>
  <c r="L324" i="65"/>
  <c r="J324" i="65"/>
  <c r="E324" i="65"/>
  <c r="L323" i="65"/>
  <c r="J323" i="65"/>
  <c r="E323" i="65"/>
  <c r="L322" i="65"/>
  <c r="J322" i="65"/>
  <c r="E322" i="65"/>
  <c r="L321" i="65"/>
  <c r="J321" i="65"/>
  <c r="E321" i="65"/>
  <c r="L320" i="65"/>
  <c r="J320" i="65"/>
  <c r="E320" i="65"/>
  <c r="L319" i="65"/>
  <c r="J319" i="65"/>
  <c r="E319" i="65"/>
  <c r="L318" i="65"/>
  <c r="J318" i="65"/>
  <c r="E318" i="65"/>
  <c r="L316" i="65"/>
  <c r="J316" i="65"/>
  <c r="E316" i="65"/>
  <c r="L315" i="65"/>
  <c r="J315" i="65"/>
  <c r="E315" i="65"/>
  <c r="L314" i="65"/>
  <c r="J314" i="65"/>
  <c r="E314" i="65"/>
  <c r="L313" i="65"/>
  <c r="J313" i="65"/>
  <c r="E313" i="65"/>
  <c r="L312" i="65"/>
  <c r="J312" i="65"/>
  <c r="E312" i="65"/>
  <c r="L311" i="65"/>
  <c r="J311" i="65"/>
  <c r="E311" i="65"/>
  <c r="L310" i="65"/>
  <c r="J310" i="65"/>
  <c r="E310" i="65"/>
  <c r="L309" i="65"/>
  <c r="J309" i="65"/>
  <c r="E309" i="65"/>
  <c r="L308" i="65"/>
  <c r="J308" i="65"/>
  <c r="E308" i="65"/>
  <c r="L307" i="65"/>
  <c r="J307" i="65"/>
  <c r="E307" i="65"/>
  <c r="L306" i="65"/>
  <c r="J306" i="65"/>
  <c r="E306" i="65"/>
  <c r="L305" i="65"/>
  <c r="J305" i="65"/>
  <c r="E305" i="65"/>
  <c r="L304" i="65"/>
  <c r="J304" i="65"/>
  <c r="E304" i="65"/>
  <c r="L303" i="65"/>
  <c r="J303" i="65"/>
  <c r="E303" i="65"/>
  <c r="L301" i="65"/>
  <c r="J301" i="65"/>
  <c r="E301" i="65"/>
  <c r="L300" i="65"/>
  <c r="J300" i="65"/>
  <c r="E300" i="65"/>
  <c r="L299" i="65"/>
  <c r="J299" i="65"/>
  <c r="E299" i="65"/>
  <c r="L298" i="65"/>
  <c r="J298" i="65"/>
  <c r="E298" i="65"/>
  <c r="L297" i="65"/>
  <c r="J297" i="65"/>
  <c r="E297" i="65"/>
  <c r="L296" i="65"/>
  <c r="J296" i="65"/>
  <c r="E296" i="65"/>
  <c r="L295" i="65"/>
  <c r="J295" i="65"/>
  <c r="E295" i="65"/>
  <c r="L294" i="65"/>
  <c r="J294" i="65"/>
  <c r="E294" i="65"/>
  <c r="L293" i="65"/>
  <c r="J293" i="65"/>
  <c r="E293" i="65"/>
  <c r="L292" i="65"/>
  <c r="J292" i="65"/>
  <c r="E292" i="65"/>
  <c r="L291" i="65"/>
  <c r="J291" i="65"/>
  <c r="E291" i="65"/>
  <c r="L290" i="65"/>
  <c r="J290" i="65"/>
  <c r="E290" i="65"/>
  <c r="L289" i="65"/>
  <c r="J289" i="65"/>
  <c r="E289" i="65"/>
  <c r="L288" i="65"/>
  <c r="J288" i="65"/>
  <c r="E288" i="65"/>
  <c r="L285" i="65"/>
  <c r="J285" i="65"/>
  <c r="E285" i="65"/>
  <c r="L284" i="65"/>
  <c r="J284" i="65"/>
  <c r="E284" i="65"/>
  <c r="L283" i="65"/>
  <c r="J283" i="65"/>
  <c r="E283" i="65"/>
  <c r="L282" i="65"/>
  <c r="J282" i="65"/>
  <c r="E282" i="65"/>
  <c r="L281" i="65"/>
  <c r="J281" i="65"/>
  <c r="E281" i="65"/>
  <c r="L280" i="65"/>
  <c r="J280" i="65"/>
  <c r="E280" i="65"/>
  <c r="L279" i="65"/>
  <c r="J279" i="65"/>
  <c r="E279" i="65"/>
  <c r="L278" i="65"/>
  <c r="J278" i="65"/>
  <c r="E278" i="65"/>
  <c r="L277" i="65"/>
  <c r="J277" i="65"/>
  <c r="E277" i="65"/>
  <c r="L276" i="65"/>
  <c r="J276" i="65"/>
  <c r="E276" i="65"/>
  <c r="L275" i="65"/>
  <c r="J275" i="65"/>
  <c r="E275" i="65"/>
  <c r="L274" i="65"/>
  <c r="J274" i="65"/>
  <c r="E274" i="65"/>
  <c r="L273" i="65"/>
  <c r="J273" i="65"/>
  <c r="E273" i="65"/>
  <c r="L272" i="65"/>
  <c r="J272" i="65"/>
  <c r="E272" i="65"/>
  <c r="L270" i="65"/>
  <c r="J270" i="65"/>
  <c r="E270" i="65"/>
  <c r="L269" i="65"/>
  <c r="J269" i="65"/>
  <c r="E269" i="65"/>
  <c r="L268" i="65"/>
  <c r="J268" i="65"/>
  <c r="E268" i="65"/>
  <c r="L267" i="65"/>
  <c r="J267" i="65"/>
  <c r="E267" i="65"/>
  <c r="L266" i="65"/>
  <c r="J266" i="65"/>
  <c r="E266" i="65"/>
  <c r="L265" i="65"/>
  <c r="J265" i="65"/>
  <c r="E265" i="65"/>
  <c r="L264" i="65"/>
  <c r="J264" i="65"/>
  <c r="E264" i="65"/>
  <c r="L263" i="65"/>
  <c r="J263" i="65"/>
  <c r="E263" i="65"/>
  <c r="L262" i="65"/>
  <c r="J262" i="65"/>
  <c r="E262" i="65"/>
  <c r="L261" i="65"/>
  <c r="J261" i="65"/>
  <c r="E261" i="65"/>
  <c r="L260" i="65"/>
  <c r="J260" i="65"/>
  <c r="E260" i="65"/>
  <c r="L259" i="65"/>
  <c r="J259" i="65"/>
  <c r="E259" i="65"/>
  <c r="L258" i="65"/>
  <c r="J258" i="65"/>
  <c r="E258" i="65"/>
  <c r="L257" i="65"/>
  <c r="J257" i="65"/>
  <c r="E257" i="65"/>
  <c r="L255" i="65"/>
  <c r="J255" i="65"/>
  <c r="E255" i="65"/>
  <c r="L254" i="65"/>
  <c r="J254" i="65"/>
  <c r="E254" i="65"/>
  <c r="L253" i="65"/>
  <c r="J253" i="65"/>
  <c r="E253" i="65"/>
  <c r="L252" i="65"/>
  <c r="J252" i="65"/>
  <c r="E252" i="65"/>
  <c r="L251" i="65"/>
  <c r="J251" i="65"/>
  <c r="E251" i="65"/>
  <c r="L250" i="65"/>
  <c r="J250" i="65"/>
  <c r="E250" i="65"/>
  <c r="L249" i="65"/>
  <c r="J249" i="65"/>
  <c r="E249" i="65"/>
  <c r="L248" i="65"/>
  <c r="J248" i="65"/>
  <c r="E248" i="65"/>
  <c r="L247" i="65"/>
  <c r="J247" i="65"/>
  <c r="E247" i="65"/>
  <c r="L246" i="65"/>
  <c r="J246" i="65"/>
  <c r="E246" i="65"/>
  <c r="L245" i="65"/>
  <c r="J245" i="65"/>
  <c r="E245" i="65"/>
  <c r="L244" i="65"/>
  <c r="J244" i="65"/>
  <c r="E244" i="65"/>
  <c r="L243" i="65"/>
  <c r="J243" i="65"/>
  <c r="E243" i="65"/>
  <c r="L242" i="65"/>
  <c r="J242" i="65"/>
  <c r="E242" i="65"/>
  <c r="L240" i="65"/>
  <c r="J240" i="65"/>
  <c r="E240" i="65"/>
  <c r="L239" i="65"/>
  <c r="J239" i="65"/>
  <c r="E239" i="65"/>
  <c r="L238" i="65"/>
  <c r="J238" i="65"/>
  <c r="E238" i="65"/>
  <c r="L237" i="65"/>
  <c r="J237" i="65"/>
  <c r="E237" i="65"/>
  <c r="L236" i="65"/>
  <c r="J236" i="65"/>
  <c r="E236" i="65"/>
  <c r="L235" i="65"/>
  <c r="J235" i="65"/>
  <c r="E235" i="65"/>
  <c r="L234" i="65"/>
  <c r="J234" i="65"/>
  <c r="E234" i="65"/>
  <c r="L233" i="65"/>
  <c r="J233" i="65"/>
  <c r="E233" i="65"/>
  <c r="L232" i="65"/>
  <c r="J232" i="65"/>
  <c r="E232" i="65"/>
  <c r="L231" i="65"/>
  <c r="J231" i="65"/>
  <c r="E231" i="65"/>
  <c r="L230" i="65"/>
  <c r="J230" i="65"/>
  <c r="E230" i="65"/>
  <c r="L229" i="65"/>
  <c r="J229" i="65"/>
  <c r="E229" i="65"/>
  <c r="L228" i="65"/>
  <c r="J228" i="65"/>
  <c r="E228" i="65"/>
  <c r="L227" i="65"/>
  <c r="J227" i="65"/>
  <c r="E227" i="65"/>
  <c r="I181" i="65"/>
  <c r="E180" i="65"/>
  <c r="E179" i="65"/>
  <c r="J179" i="65" s="1"/>
  <c r="E178" i="65"/>
  <c r="E177" i="65"/>
  <c r="L177" i="65" s="1"/>
  <c r="E176" i="65"/>
  <c r="E175" i="65"/>
  <c r="J175" i="65" s="1"/>
  <c r="E174" i="65"/>
  <c r="L174" i="65" s="1"/>
  <c r="E173" i="65"/>
  <c r="E172" i="65"/>
  <c r="E171" i="65"/>
  <c r="J171" i="65" s="1"/>
  <c r="E170" i="65"/>
  <c r="L170" i="65" s="1"/>
  <c r="E169" i="65"/>
  <c r="L169" i="65" s="1"/>
  <c r="E168" i="65"/>
  <c r="E167" i="65"/>
  <c r="J167" i="65" s="1"/>
  <c r="E166" i="65"/>
  <c r="E165" i="65"/>
  <c r="E164" i="65"/>
  <c r="E163" i="65"/>
  <c r="J163" i="65" s="1"/>
  <c r="E162" i="65"/>
  <c r="E161" i="65"/>
  <c r="E160" i="65"/>
  <c r="L160" i="65" s="1"/>
  <c r="E159" i="65"/>
  <c r="J159" i="65" s="1"/>
  <c r="E158" i="65"/>
  <c r="E156" i="65"/>
  <c r="E153" i="65"/>
  <c r="L152" i="65"/>
  <c r="J152" i="65"/>
  <c r="E152" i="65"/>
  <c r="L151" i="65"/>
  <c r="J151" i="65"/>
  <c r="E151" i="65"/>
  <c r="L150" i="65"/>
  <c r="J150" i="65"/>
  <c r="E150" i="65"/>
  <c r="L149" i="65"/>
  <c r="J149" i="65"/>
  <c r="E149" i="65"/>
  <c r="L148" i="65"/>
  <c r="J148" i="65"/>
  <c r="E148" i="65"/>
  <c r="L147" i="65"/>
  <c r="J147" i="65"/>
  <c r="E147" i="65"/>
  <c r="L146" i="65"/>
  <c r="J146" i="65"/>
  <c r="E146" i="65"/>
  <c r="L145" i="65"/>
  <c r="J145" i="65"/>
  <c r="E145" i="65"/>
  <c r="L144" i="65"/>
  <c r="J144" i="65"/>
  <c r="E144" i="65"/>
  <c r="L143" i="65"/>
  <c r="J143" i="65"/>
  <c r="E143" i="65"/>
  <c r="L142" i="65"/>
  <c r="J142" i="65"/>
  <c r="E142" i="65"/>
  <c r="L141" i="65"/>
  <c r="J141" i="65"/>
  <c r="E141" i="65"/>
  <c r="L140" i="65"/>
  <c r="J140" i="65"/>
  <c r="E140" i="65"/>
  <c r="L139" i="65"/>
  <c r="J139" i="65"/>
  <c r="E139" i="65"/>
  <c r="L138" i="65"/>
  <c r="J138" i="65"/>
  <c r="E138" i="65"/>
  <c r="L137" i="65"/>
  <c r="J137" i="65"/>
  <c r="E137" i="65"/>
  <c r="L136" i="65"/>
  <c r="J136" i="65"/>
  <c r="E136" i="65"/>
  <c r="L135" i="65"/>
  <c r="J135" i="65"/>
  <c r="E135" i="65"/>
  <c r="L134" i="65"/>
  <c r="J134" i="65"/>
  <c r="E134" i="65"/>
  <c r="L133" i="65"/>
  <c r="J133" i="65"/>
  <c r="E133" i="65"/>
  <c r="L132" i="65"/>
  <c r="J132" i="65"/>
  <c r="E132" i="65"/>
  <c r="L131" i="65"/>
  <c r="J131" i="65"/>
  <c r="E131" i="65"/>
  <c r="L130" i="65"/>
  <c r="J130" i="65"/>
  <c r="E130" i="65"/>
  <c r="L129" i="65"/>
  <c r="J129" i="65"/>
  <c r="E129" i="65"/>
  <c r="L128" i="65"/>
  <c r="J128" i="65"/>
  <c r="E128" i="65"/>
  <c r="L127" i="65"/>
  <c r="J127" i="65"/>
  <c r="E127" i="65"/>
  <c r="L126" i="65"/>
  <c r="J126" i="65"/>
  <c r="E126" i="65"/>
  <c r="L125" i="65"/>
  <c r="J125" i="65"/>
  <c r="E125" i="65"/>
  <c r="L124" i="65"/>
  <c r="J124" i="65"/>
  <c r="E124" i="65"/>
  <c r="L123" i="65"/>
  <c r="J123" i="65"/>
  <c r="E123" i="65"/>
  <c r="L122" i="65"/>
  <c r="J122" i="65"/>
  <c r="E122" i="65"/>
  <c r="L121" i="65"/>
  <c r="J121" i="65"/>
  <c r="E121" i="65"/>
  <c r="L120" i="65"/>
  <c r="J120" i="65"/>
  <c r="E120" i="65"/>
  <c r="L119" i="65"/>
  <c r="J119" i="65"/>
  <c r="E119" i="65"/>
  <c r="L118" i="65"/>
  <c r="J118" i="65"/>
  <c r="E118" i="65"/>
  <c r="L117" i="65"/>
  <c r="J117" i="65"/>
  <c r="E117" i="65"/>
  <c r="L116" i="65"/>
  <c r="J116" i="65"/>
  <c r="E116" i="65"/>
  <c r="L115" i="65"/>
  <c r="J115" i="65"/>
  <c r="E115" i="65"/>
  <c r="L114" i="65"/>
  <c r="J114" i="65"/>
  <c r="E114" i="65"/>
  <c r="L113" i="65"/>
  <c r="J113" i="65"/>
  <c r="E113" i="65"/>
  <c r="L112" i="65"/>
  <c r="J112" i="65"/>
  <c r="E112" i="65"/>
  <c r="L111" i="65"/>
  <c r="J111" i="65"/>
  <c r="E111" i="65"/>
  <c r="L110" i="65"/>
  <c r="J110" i="65"/>
  <c r="E110" i="65"/>
  <c r="L109" i="65"/>
  <c r="J109" i="65"/>
  <c r="E109" i="65"/>
  <c r="L108" i="65"/>
  <c r="J108" i="65"/>
  <c r="E108" i="65"/>
  <c r="L107" i="65"/>
  <c r="J107" i="65"/>
  <c r="E107" i="65"/>
  <c r="L106" i="65"/>
  <c r="J106" i="65"/>
  <c r="E106" i="65"/>
  <c r="L105" i="65"/>
  <c r="J105" i="65"/>
  <c r="E105" i="65"/>
  <c r="L104" i="65"/>
  <c r="J104" i="65"/>
  <c r="E104" i="65"/>
  <c r="L103" i="65"/>
  <c r="J103" i="65"/>
  <c r="E103" i="65"/>
  <c r="L102" i="65"/>
  <c r="J102" i="65"/>
  <c r="E102" i="65"/>
  <c r="L101" i="65"/>
  <c r="J101" i="65"/>
  <c r="E101" i="65"/>
  <c r="L100" i="65"/>
  <c r="J100" i="65"/>
  <c r="E100" i="65"/>
  <c r="L99" i="65"/>
  <c r="J99" i="65"/>
  <c r="E99" i="65"/>
  <c r="L98" i="65"/>
  <c r="J98" i="65"/>
  <c r="E98" i="65"/>
  <c r="L97" i="65"/>
  <c r="J97" i="65"/>
  <c r="E97" i="65"/>
  <c r="L96" i="65"/>
  <c r="J96" i="65"/>
  <c r="E96" i="65"/>
  <c r="I93" i="65"/>
  <c r="I90" i="65"/>
  <c r="I81" i="65"/>
  <c r="I80" i="65"/>
  <c r="I77" i="65"/>
  <c r="I76" i="65"/>
  <c r="I73" i="65"/>
  <c r="I72" i="65"/>
  <c r="I69" i="65"/>
  <c r="I68" i="65"/>
  <c r="E66" i="65"/>
  <c r="E65" i="65"/>
  <c r="I53" i="65"/>
  <c r="E53" i="65"/>
  <c r="I45" i="65"/>
  <c r="I44" i="65"/>
  <c r="E44" i="65"/>
  <c r="I41" i="65"/>
  <c r="E41" i="65"/>
  <c r="I40" i="65"/>
  <c r="E40" i="65"/>
  <c r="I39" i="65"/>
  <c r="E39" i="65"/>
  <c r="I38" i="65"/>
  <c r="E38" i="65"/>
  <c r="F47" i="54"/>
  <c r="I24" i="65" s="1"/>
  <c r="D47" i="54"/>
  <c r="I23" i="65" s="1"/>
  <c r="I22" i="65"/>
  <c r="E22" i="65"/>
  <c r="I21" i="65"/>
  <c r="E21" i="65"/>
  <c r="I20" i="65"/>
  <c r="E19" i="65"/>
  <c r="J19" i="65" s="1"/>
  <c r="E17" i="65"/>
  <c r="E16" i="65"/>
  <c r="E15" i="65"/>
  <c r="I15" i="65"/>
  <c r="K15" i="65" s="1"/>
  <c r="E14" i="65"/>
  <c r="D66" i="54"/>
  <c r="I12" i="65" s="1"/>
  <c r="E12" i="65"/>
  <c r="L12" i="65" s="1"/>
  <c r="E11" i="65"/>
  <c r="I11" i="65" s="1"/>
  <c r="G11" i="65"/>
  <c r="E10" i="65"/>
  <c r="F20" i="54"/>
  <c r="E24" i="65" s="1"/>
  <c r="H3" i="65"/>
  <c r="A2" i="65"/>
  <c r="E13" i="65"/>
  <c r="D417" i="65"/>
  <c r="L410" i="65"/>
  <c r="K410" i="65"/>
  <c r="H410" i="65"/>
  <c r="L405" i="65"/>
  <c r="L404" i="65"/>
  <c r="L403" i="65"/>
  <c r="L402" i="65"/>
  <c r="L401" i="65"/>
  <c r="L400" i="65"/>
  <c r="L399" i="65"/>
  <c r="L398" i="65"/>
  <c r="L397" i="65"/>
  <c r="L396" i="65"/>
  <c r="H394" i="65"/>
  <c r="L393" i="65"/>
  <c r="D393" i="65"/>
  <c r="L392" i="65"/>
  <c r="H391" i="65"/>
  <c r="L390" i="65"/>
  <c r="J390" i="65"/>
  <c r="L389" i="65"/>
  <c r="J389" i="65"/>
  <c r="L387" i="65"/>
  <c r="L385" i="65"/>
  <c r="J385" i="65"/>
  <c r="L384" i="65"/>
  <c r="J384" i="65"/>
  <c r="L383" i="65"/>
  <c r="J383" i="65"/>
  <c r="L382" i="65"/>
  <c r="J382" i="65"/>
  <c r="H382" i="65"/>
  <c r="L381" i="65"/>
  <c r="J381" i="65"/>
  <c r="L380" i="65"/>
  <c r="J380" i="65"/>
  <c r="L379" i="65"/>
  <c r="J379" i="65"/>
  <c r="L378" i="65"/>
  <c r="J378" i="65"/>
  <c r="L377" i="65"/>
  <c r="J377" i="65"/>
  <c r="L375" i="65"/>
  <c r="J375" i="65"/>
  <c r="L374" i="65"/>
  <c r="J374" i="65"/>
  <c r="H374" i="65"/>
  <c r="L373" i="65"/>
  <c r="J373" i="65"/>
  <c r="L372" i="65"/>
  <c r="J372" i="65"/>
  <c r="L371" i="65"/>
  <c r="J371" i="65"/>
  <c r="L369" i="65"/>
  <c r="L368" i="65"/>
  <c r="L366" i="65"/>
  <c r="J366" i="65"/>
  <c r="G3" i="65"/>
  <c r="D343" i="65" s="1"/>
  <c r="D324" i="65"/>
  <c r="D313" i="65"/>
  <c r="D301" i="65"/>
  <c r="D290" i="65"/>
  <c r="D278" i="65"/>
  <c r="D254" i="65"/>
  <c r="D244" i="65"/>
  <c r="D232" i="65"/>
  <c r="D186" i="65"/>
  <c r="L180" i="65"/>
  <c r="J180" i="65"/>
  <c r="D180" i="65"/>
  <c r="L179" i="65"/>
  <c r="L178" i="65"/>
  <c r="J178" i="65"/>
  <c r="J177" i="65"/>
  <c r="L176" i="65"/>
  <c r="J176" i="65"/>
  <c r="L175" i="65"/>
  <c r="L173" i="65"/>
  <c r="J173" i="65"/>
  <c r="L172" i="65"/>
  <c r="J172" i="65"/>
  <c r="L171" i="65"/>
  <c r="J169" i="65"/>
  <c r="L168" i="65"/>
  <c r="J168" i="65"/>
  <c r="L167" i="65"/>
  <c r="L166" i="65"/>
  <c r="J166" i="65"/>
  <c r="L165" i="65"/>
  <c r="J165" i="65"/>
  <c r="L164" i="65"/>
  <c r="J164" i="65"/>
  <c r="D164" i="65"/>
  <c r="L162" i="65"/>
  <c r="J162" i="65"/>
  <c r="L161" i="65"/>
  <c r="J161" i="65"/>
  <c r="J160" i="65"/>
  <c r="L159" i="65"/>
  <c r="L158" i="65"/>
  <c r="J158" i="65"/>
  <c r="D151" i="65"/>
  <c r="D141" i="65"/>
  <c r="D130" i="65"/>
  <c r="D119" i="65"/>
  <c r="D109" i="65"/>
  <c r="D98" i="65"/>
  <c r="H88" i="65"/>
  <c r="H68" i="65"/>
  <c r="D59" i="65"/>
  <c r="L53" i="65"/>
  <c r="J53" i="65"/>
  <c r="D44" i="65"/>
  <c r="E42" i="65"/>
  <c r="H39" i="65"/>
  <c r="H35" i="65"/>
  <c r="D31" i="65"/>
  <c r="K26" i="65"/>
  <c r="D25" i="65"/>
  <c r="H24" i="65"/>
  <c r="D24" i="65"/>
  <c r="H22" i="65"/>
  <c r="D22" i="65"/>
  <c r="D20" i="65"/>
  <c r="D19" i="65"/>
  <c r="H17" i="65"/>
  <c r="D17" i="65"/>
  <c r="D16" i="65"/>
  <c r="L15" i="65"/>
  <c r="J15" i="65"/>
  <c r="D14" i="65"/>
  <c r="D13" i="65"/>
  <c r="K12" i="65"/>
  <c r="L11" i="65"/>
  <c r="D9" i="65"/>
  <c r="D8" i="65"/>
  <c r="G10" i="65"/>
  <c r="F23" i="54"/>
  <c r="E27" i="65" s="1"/>
  <c r="K27" i="65" s="1"/>
  <c r="F80" i="54"/>
  <c r="I17" i="65" s="1"/>
  <c r="F55" i="56"/>
  <c r="F26" i="54" s="1"/>
  <c r="F338" i="54" s="1"/>
  <c r="E18" i="65"/>
  <c r="J18" i="65" s="1"/>
  <c r="J52" i="65"/>
  <c r="K52" i="65"/>
  <c r="F39" i="54"/>
  <c r="F12" i="54"/>
  <c r="F324" i="54" s="1"/>
  <c r="F15" i="54"/>
  <c r="C35" i="55"/>
  <c r="C39" i="55"/>
  <c r="C42" i="55"/>
  <c r="C47" i="55"/>
  <c r="E51" i="65"/>
  <c r="J51" i="65" s="1"/>
  <c r="K51" i="65"/>
  <c r="E206" i="65"/>
  <c r="J206" i="65" s="1"/>
  <c r="D80" i="54"/>
  <c r="I16" i="65" s="1"/>
  <c r="F23" i="56"/>
  <c r="F30" i="56" s="1"/>
  <c r="F39" i="56"/>
  <c r="I79" i="65" s="1"/>
  <c r="I82" i="65" s="1"/>
  <c r="C16" i="55"/>
  <c r="C25" i="55" s="1"/>
  <c r="C30" i="55" s="1"/>
  <c r="E29" i="65" s="1"/>
  <c r="I65" i="65"/>
  <c r="K65" i="65" s="1"/>
  <c r="E75" i="65"/>
  <c r="I85" i="65"/>
  <c r="F51" i="56"/>
  <c r="E63" i="65" s="1"/>
  <c r="I66" i="65"/>
  <c r="L66" i="65" s="1"/>
  <c r="E79" i="65"/>
  <c r="I86" i="65"/>
  <c r="D46" i="56"/>
  <c r="E61" i="65" s="1"/>
  <c r="D23" i="56"/>
  <c r="D30" i="56" s="1"/>
  <c r="D49" i="56" s="1"/>
  <c r="D39" i="56"/>
  <c r="D55" i="56"/>
  <c r="B53" i="54" s="1"/>
  <c r="B366" i="54" s="1"/>
  <c r="H37" i="57"/>
  <c r="E85" i="65" s="1"/>
  <c r="J37" i="57"/>
  <c r="L37" i="57"/>
  <c r="E87" i="65" s="1"/>
  <c r="P8" i="57"/>
  <c r="P9" i="57"/>
  <c r="P10" i="57"/>
  <c r="P11" i="57"/>
  <c r="P12" i="57"/>
  <c r="P316" i="57" s="1"/>
  <c r="P13" i="57"/>
  <c r="P14" i="57"/>
  <c r="P318" i="57" s="1"/>
  <c r="P15" i="57"/>
  <c r="P16" i="57"/>
  <c r="P17" i="57"/>
  <c r="P18" i="57"/>
  <c r="P322" i="57" s="1"/>
  <c r="P19" i="57"/>
  <c r="P20" i="57"/>
  <c r="P21" i="57"/>
  <c r="P22" i="57"/>
  <c r="P326" i="57" s="1"/>
  <c r="P23" i="57"/>
  <c r="P24" i="57"/>
  <c r="P328" i="57" s="1"/>
  <c r="P25" i="57"/>
  <c r="P26" i="57"/>
  <c r="P330" i="57" s="1"/>
  <c r="P27" i="57"/>
  <c r="P28" i="57"/>
  <c r="V28" i="57" s="1"/>
  <c r="V332" i="57" s="1"/>
  <c r="P29" i="57"/>
  <c r="P30" i="57"/>
  <c r="P334" i="57" s="1"/>
  <c r="P31" i="57"/>
  <c r="P32" i="57"/>
  <c r="P336" i="57" s="1"/>
  <c r="P33" i="57"/>
  <c r="P34" i="57"/>
  <c r="P338" i="57" s="1"/>
  <c r="P35" i="57"/>
  <c r="P36" i="57"/>
  <c r="N37" i="57"/>
  <c r="E88" i="65" s="1"/>
  <c r="R8" i="57"/>
  <c r="R312" i="57" s="1"/>
  <c r="R9" i="57"/>
  <c r="X9" i="57" s="1"/>
  <c r="X313" i="57" s="1"/>
  <c r="R10" i="57"/>
  <c r="X10" i="57" s="1"/>
  <c r="X314" i="57" s="1"/>
  <c r="R11" i="57"/>
  <c r="R315" i="57" s="1"/>
  <c r="R12" i="57"/>
  <c r="R316" i="57" s="1"/>
  <c r="R13" i="57"/>
  <c r="R317" i="57" s="1"/>
  <c r="R14" i="57"/>
  <c r="R318" i="57" s="1"/>
  <c r="R15" i="57"/>
  <c r="R319" i="57" s="1"/>
  <c r="R16" i="57"/>
  <c r="R17" i="57"/>
  <c r="R18" i="57"/>
  <c r="R322" i="57" s="1"/>
  <c r="R19" i="57"/>
  <c r="R323" i="57" s="1"/>
  <c r="R20" i="57"/>
  <c r="R324" i="57" s="1"/>
  <c r="R21" i="57"/>
  <c r="R325" i="57" s="1"/>
  <c r="R22" i="57"/>
  <c r="R326" i="57" s="1"/>
  <c r="R23" i="57"/>
  <c r="R327" i="57" s="1"/>
  <c r="R24" i="57"/>
  <c r="R25" i="57"/>
  <c r="X25" i="57" s="1"/>
  <c r="X329" i="57" s="1"/>
  <c r="R26" i="57"/>
  <c r="R330" i="57" s="1"/>
  <c r="R27" i="57"/>
  <c r="R331" i="57" s="1"/>
  <c r="R28" i="57"/>
  <c r="R29" i="57"/>
  <c r="X29" i="57" s="1"/>
  <c r="X333" i="57" s="1"/>
  <c r="R30" i="57"/>
  <c r="R334" i="57" s="1"/>
  <c r="R31" i="57"/>
  <c r="R335" i="57" s="1"/>
  <c r="R32" i="57"/>
  <c r="R33" i="57"/>
  <c r="V33" i="57" s="1"/>
  <c r="V337" i="57" s="1"/>
  <c r="R34" i="57"/>
  <c r="R35" i="57"/>
  <c r="R36" i="57"/>
  <c r="X33" i="57"/>
  <c r="X337" i="57" s="1"/>
  <c r="F37" i="57"/>
  <c r="F341" i="57" s="1"/>
  <c r="T37" i="57"/>
  <c r="T341" i="57" s="1"/>
  <c r="D37" i="57"/>
  <c r="D341" i="57" s="1"/>
  <c r="G15" i="58"/>
  <c r="G17" i="58" s="1"/>
  <c r="G319" i="58" s="1"/>
  <c r="G23" i="58"/>
  <c r="G325" i="58" s="1"/>
  <c r="G26" i="58"/>
  <c r="M15" i="58"/>
  <c r="M17" i="58" s="1"/>
  <c r="M23" i="58"/>
  <c r="M26" i="58"/>
  <c r="E224" i="65"/>
  <c r="J224" i="65" s="1"/>
  <c r="I43" i="65"/>
  <c r="J43" i="65" s="1"/>
  <c r="I386" i="65"/>
  <c r="I365" i="65"/>
  <c r="L365" i="65" s="1"/>
  <c r="E386" i="65"/>
  <c r="L13" i="60"/>
  <c r="E412" i="65" s="1"/>
  <c r="I388" i="65"/>
  <c r="L388" i="65" s="1"/>
  <c r="I367" i="65"/>
  <c r="L367" i="65" s="1"/>
  <c r="I370" i="65"/>
  <c r="J370" i="65" s="1"/>
  <c r="L22" i="60"/>
  <c r="E413" i="65" s="1"/>
  <c r="I391" i="65"/>
  <c r="L391" i="65" s="1"/>
  <c r="F13" i="60"/>
  <c r="F22" i="60"/>
  <c r="F31" i="60"/>
  <c r="F39" i="60"/>
  <c r="J13" i="60"/>
  <c r="J22" i="60"/>
  <c r="J31" i="60"/>
  <c r="J39" i="60"/>
  <c r="F66" i="54"/>
  <c r="I13" i="65"/>
  <c r="J13" i="65" s="1"/>
  <c r="E20" i="65"/>
  <c r="L20" i="65" s="1"/>
  <c r="I395" i="65"/>
  <c r="J395" i="65" s="1"/>
  <c r="I394" i="65"/>
  <c r="L394" i="65" s="1"/>
  <c r="I55" i="65"/>
  <c r="E411" i="65"/>
  <c r="L31" i="60"/>
  <c r="E414" i="65" s="1"/>
  <c r="E417" i="65"/>
  <c r="E55" i="65"/>
  <c r="I411" i="65"/>
  <c r="K411" i="65" s="1"/>
  <c r="I48" i="65"/>
  <c r="G16" i="55"/>
  <c r="G25" i="55" s="1"/>
  <c r="G30" i="55" s="1"/>
  <c r="G342" i="55" s="1"/>
  <c r="G35" i="55"/>
  <c r="G39" i="55"/>
  <c r="G353" i="55" s="1"/>
  <c r="G42" i="55"/>
  <c r="G47" i="55"/>
  <c r="D20" i="54"/>
  <c r="E23" i="65" s="1"/>
  <c r="D12" i="54"/>
  <c r="D324" i="54" s="1"/>
  <c r="D15" i="54"/>
  <c r="D327" i="54" s="1"/>
  <c r="D23" i="54"/>
  <c r="D39" i="54"/>
  <c r="I25" i="65"/>
  <c r="L25" i="65" s="1"/>
  <c r="D13" i="60"/>
  <c r="D22" i="60"/>
  <c r="D31" i="60"/>
  <c r="D39" i="60"/>
  <c r="G24" i="10"/>
  <c r="H24" i="10"/>
  <c r="I24" i="10"/>
  <c r="G25" i="10"/>
  <c r="H25" i="10"/>
  <c r="I25" i="10"/>
  <c r="G26" i="10"/>
  <c r="H26" i="10"/>
  <c r="I26" i="10"/>
  <c r="G27" i="10"/>
  <c r="H27" i="10"/>
  <c r="I27" i="10"/>
  <c r="F1" i="10"/>
  <c r="F3" i="10"/>
  <c r="B7" i="10" s="1"/>
  <c r="A5" i="10"/>
  <c r="A6" i="10"/>
  <c r="G22" i="10"/>
  <c r="H22" i="10"/>
  <c r="I22" i="10"/>
  <c r="D6" i="61"/>
  <c r="E339" i="61"/>
  <c r="D339" i="61"/>
  <c r="E338" i="61"/>
  <c r="D338" i="61"/>
  <c r="E337" i="61"/>
  <c r="D337" i="61"/>
  <c r="E336" i="61"/>
  <c r="D336" i="61"/>
  <c r="E335" i="61"/>
  <c r="D335" i="61"/>
  <c r="E334" i="61"/>
  <c r="D334" i="61"/>
  <c r="E333" i="61"/>
  <c r="D333" i="61"/>
  <c r="E332" i="61"/>
  <c r="D332" i="61"/>
  <c r="E331" i="61"/>
  <c r="D331" i="61"/>
  <c r="E330" i="61"/>
  <c r="D330" i="61"/>
  <c r="E329" i="61"/>
  <c r="D329" i="61"/>
  <c r="E328" i="61"/>
  <c r="D328" i="61"/>
  <c r="E327" i="61"/>
  <c r="D327" i="61"/>
  <c r="E326" i="61"/>
  <c r="D326" i="61"/>
  <c r="E325" i="61"/>
  <c r="D325" i="61"/>
  <c r="E324" i="61"/>
  <c r="D324" i="61"/>
  <c r="E323" i="61"/>
  <c r="D323" i="61"/>
  <c r="E322" i="61"/>
  <c r="D322" i="61"/>
  <c r="E321" i="61"/>
  <c r="D321" i="61"/>
  <c r="E320" i="61"/>
  <c r="D320" i="61"/>
  <c r="E319" i="61"/>
  <c r="D319" i="61"/>
  <c r="E318" i="61"/>
  <c r="D318" i="61"/>
  <c r="E317" i="61"/>
  <c r="D317" i="61"/>
  <c r="E316" i="61"/>
  <c r="D316" i="61"/>
  <c r="E315" i="61"/>
  <c r="D315" i="61"/>
  <c r="E314" i="61"/>
  <c r="D314" i="61"/>
  <c r="E313" i="61"/>
  <c r="D313" i="61"/>
  <c r="E312" i="61"/>
  <c r="D312" i="61"/>
  <c r="E311" i="61"/>
  <c r="D311" i="61"/>
  <c r="E310" i="61"/>
  <c r="D310" i="61"/>
  <c r="E309" i="61"/>
  <c r="D309" i="61"/>
  <c r="E308" i="61"/>
  <c r="D308" i="61"/>
  <c r="E307" i="61"/>
  <c r="D307" i="61"/>
  <c r="E306" i="61"/>
  <c r="D306" i="61"/>
  <c r="X339" i="61"/>
  <c r="W339" i="61"/>
  <c r="V339" i="61"/>
  <c r="U339" i="61"/>
  <c r="T339" i="61"/>
  <c r="S339" i="61"/>
  <c r="R339" i="61"/>
  <c r="Q339" i="61"/>
  <c r="P339" i="61"/>
  <c r="O339" i="61"/>
  <c r="N339" i="61"/>
  <c r="M339" i="61"/>
  <c r="L339" i="61"/>
  <c r="K339" i="61"/>
  <c r="J339" i="61"/>
  <c r="I339" i="61"/>
  <c r="H339" i="61"/>
  <c r="G339" i="61"/>
  <c r="F339" i="61"/>
  <c r="C339" i="61"/>
  <c r="B339" i="61"/>
  <c r="AA338" i="61"/>
  <c r="Z338" i="61"/>
  <c r="Y338" i="61"/>
  <c r="X338" i="61"/>
  <c r="W338" i="61"/>
  <c r="V338" i="61"/>
  <c r="U338" i="61"/>
  <c r="T338" i="61"/>
  <c r="S338" i="61"/>
  <c r="R338" i="61"/>
  <c r="Q338" i="61"/>
  <c r="P338" i="61"/>
  <c r="O338" i="61"/>
  <c r="N338" i="61"/>
  <c r="M338" i="61"/>
  <c r="L338" i="61"/>
  <c r="K338" i="61"/>
  <c r="J338" i="61"/>
  <c r="I338" i="61"/>
  <c r="H338" i="61"/>
  <c r="G338" i="61"/>
  <c r="F338" i="61"/>
  <c r="C338" i="61"/>
  <c r="B338" i="61"/>
  <c r="AA337" i="61"/>
  <c r="Y337" i="61"/>
  <c r="X337" i="61"/>
  <c r="W337" i="61"/>
  <c r="V337" i="61"/>
  <c r="U337" i="61"/>
  <c r="T337" i="61"/>
  <c r="S337" i="61"/>
  <c r="R337" i="61"/>
  <c r="Q337" i="61"/>
  <c r="P337" i="61"/>
  <c r="O337" i="61"/>
  <c r="N337" i="61"/>
  <c r="M337" i="61"/>
  <c r="L337" i="61"/>
  <c r="K337" i="61"/>
  <c r="J337" i="61"/>
  <c r="I337" i="61"/>
  <c r="H337" i="61"/>
  <c r="G337" i="61"/>
  <c r="F337" i="61"/>
  <c r="C337" i="61"/>
  <c r="B337" i="61"/>
  <c r="AA336" i="61"/>
  <c r="Z336" i="61"/>
  <c r="X336" i="61"/>
  <c r="W336" i="61"/>
  <c r="V336" i="61"/>
  <c r="U336" i="61"/>
  <c r="T336" i="61"/>
  <c r="S336" i="61"/>
  <c r="R336" i="61"/>
  <c r="Q336" i="61"/>
  <c r="P336" i="61"/>
  <c r="O336" i="61"/>
  <c r="N336" i="61"/>
  <c r="M336" i="61"/>
  <c r="L336" i="61"/>
  <c r="K336" i="61"/>
  <c r="J336" i="61"/>
  <c r="I336" i="61"/>
  <c r="H336" i="61"/>
  <c r="G336" i="61"/>
  <c r="F336" i="61"/>
  <c r="C336" i="61"/>
  <c r="B336" i="61"/>
  <c r="AA335" i="61"/>
  <c r="Z335" i="61"/>
  <c r="X335" i="61"/>
  <c r="W335" i="61"/>
  <c r="V335" i="61"/>
  <c r="U335" i="61"/>
  <c r="T335" i="61"/>
  <c r="S335" i="61"/>
  <c r="R335" i="61"/>
  <c r="Q335" i="61"/>
  <c r="P335" i="61"/>
  <c r="O335" i="61"/>
  <c r="N335" i="61"/>
  <c r="M335" i="61"/>
  <c r="L335" i="61"/>
  <c r="K335" i="61"/>
  <c r="J335" i="61"/>
  <c r="I335" i="61"/>
  <c r="H335" i="61"/>
  <c r="G335" i="61"/>
  <c r="F335" i="61"/>
  <c r="C335" i="61"/>
  <c r="B335" i="61"/>
  <c r="AA334" i="61"/>
  <c r="Y334" i="61"/>
  <c r="X334" i="61"/>
  <c r="W334" i="61"/>
  <c r="V334" i="61"/>
  <c r="U334" i="61"/>
  <c r="T334" i="61"/>
  <c r="S334" i="61"/>
  <c r="R334" i="61"/>
  <c r="Q334" i="61"/>
  <c r="P334" i="61"/>
  <c r="O334" i="61"/>
  <c r="N334" i="61"/>
  <c r="M334" i="61"/>
  <c r="L334" i="61"/>
  <c r="K334" i="61"/>
  <c r="J334" i="61"/>
  <c r="I334" i="61"/>
  <c r="H334" i="61"/>
  <c r="G334" i="61"/>
  <c r="F334" i="61"/>
  <c r="C334" i="61"/>
  <c r="B334" i="61"/>
  <c r="AA333" i="61"/>
  <c r="Z333" i="61"/>
  <c r="Y333" i="61"/>
  <c r="W333" i="61"/>
  <c r="V333" i="61"/>
  <c r="U333" i="61"/>
  <c r="T333" i="61"/>
  <c r="S333" i="61"/>
  <c r="R333" i="61"/>
  <c r="Q333" i="61"/>
  <c r="P333" i="61"/>
  <c r="O333" i="61"/>
  <c r="N333" i="61"/>
  <c r="M333" i="61"/>
  <c r="L333" i="61"/>
  <c r="K333" i="61"/>
  <c r="J333" i="61"/>
  <c r="I333" i="61"/>
  <c r="H333" i="61"/>
  <c r="G333" i="61"/>
  <c r="F333" i="61"/>
  <c r="C333" i="61"/>
  <c r="B333" i="61"/>
  <c r="AA332" i="61"/>
  <c r="Y332" i="61"/>
  <c r="X332" i="61"/>
  <c r="W332" i="61"/>
  <c r="V332" i="61"/>
  <c r="U332" i="61"/>
  <c r="T332" i="61"/>
  <c r="S332" i="61"/>
  <c r="R332" i="61"/>
  <c r="Q332" i="61"/>
  <c r="P332" i="61"/>
  <c r="O332" i="61"/>
  <c r="N332" i="61"/>
  <c r="M332" i="61"/>
  <c r="L332" i="61"/>
  <c r="K332" i="61"/>
  <c r="J332" i="61"/>
  <c r="I332" i="61"/>
  <c r="H332" i="61"/>
  <c r="G332" i="61"/>
  <c r="F332" i="61"/>
  <c r="C332" i="61"/>
  <c r="B332" i="61"/>
  <c r="AA331" i="61"/>
  <c r="Z331" i="61"/>
  <c r="W331" i="61"/>
  <c r="V331" i="61"/>
  <c r="U331" i="61"/>
  <c r="T331" i="61"/>
  <c r="S331" i="61"/>
  <c r="R331" i="61"/>
  <c r="Q331" i="61"/>
  <c r="P331" i="61"/>
  <c r="O331" i="61"/>
  <c r="N331" i="61"/>
  <c r="M331" i="61"/>
  <c r="L331" i="61"/>
  <c r="K331" i="61"/>
  <c r="J331" i="61"/>
  <c r="I331" i="61"/>
  <c r="H331" i="61"/>
  <c r="G331" i="61"/>
  <c r="F331" i="61"/>
  <c r="C331" i="61"/>
  <c r="B331" i="61"/>
  <c r="AA330" i="61"/>
  <c r="Y330" i="61"/>
  <c r="X330" i="61"/>
  <c r="W330" i="61"/>
  <c r="V330" i="61"/>
  <c r="U330" i="61"/>
  <c r="T330" i="61"/>
  <c r="S330" i="61"/>
  <c r="R330" i="61"/>
  <c r="Q330" i="61"/>
  <c r="P330" i="61"/>
  <c r="O330" i="61"/>
  <c r="N330" i="61"/>
  <c r="M330" i="61"/>
  <c r="L330" i="61"/>
  <c r="K330" i="61"/>
  <c r="J330" i="61"/>
  <c r="I330" i="61"/>
  <c r="H330" i="61"/>
  <c r="G330" i="61"/>
  <c r="F330" i="61"/>
  <c r="C330" i="61"/>
  <c r="B330" i="61"/>
  <c r="AA329" i="61"/>
  <c r="Y329" i="61"/>
  <c r="X329" i="61"/>
  <c r="W329" i="61"/>
  <c r="V329" i="61"/>
  <c r="U329" i="61"/>
  <c r="T329" i="61"/>
  <c r="S329" i="61"/>
  <c r="R329" i="61"/>
  <c r="Q329" i="61"/>
  <c r="P329" i="61"/>
  <c r="O329" i="61"/>
  <c r="N329" i="61"/>
  <c r="M329" i="61"/>
  <c r="L329" i="61"/>
  <c r="K329" i="61"/>
  <c r="J329" i="61"/>
  <c r="I329" i="61"/>
  <c r="H329" i="61"/>
  <c r="G329" i="61"/>
  <c r="F329" i="61"/>
  <c r="C329" i="61"/>
  <c r="B329" i="61"/>
  <c r="AA328" i="61"/>
  <c r="Y328" i="61"/>
  <c r="X328" i="61"/>
  <c r="W328" i="61"/>
  <c r="V328" i="61"/>
  <c r="U328" i="61"/>
  <c r="T328" i="61"/>
  <c r="S328" i="61"/>
  <c r="R328" i="61"/>
  <c r="Q328" i="61"/>
  <c r="P328" i="61"/>
  <c r="O328" i="61"/>
  <c r="N328" i="61"/>
  <c r="M328" i="61"/>
  <c r="L328" i="61"/>
  <c r="K328" i="61"/>
  <c r="J328" i="61"/>
  <c r="I328" i="61"/>
  <c r="H328" i="61"/>
  <c r="G328" i="61"/>
  <c r="F328" i="61"/>
  <c r="C328" i="61"/>
  <c r="B328" i="61"/>
  <c r="AA327" i="61"/>
  <c r="Z327" i="61"/>
  <c r="Y327" i="61"/>
  <c r="X327" i="61"/>
  <c r="W327" i="61"/>
  <c r="V327" i="61"/>
  <c r="U327" i="61"/>
  <c r="T327" i="61"/>
  <c r="S327" i="61"/>
  <c r="R327" i="61"/>
  <c r="Q327" i="61"/>
  <c r="P327" i="61"/>
  <c r="O327" i="61"/>
  <c r="N327" i="61"/>
  <c r="M327" i="61"/>
  <c r="L327" i="61"/>
  <c r="K327" i="61"/>
  <c r="J327" i="61"/>
  <c r="I327" i="61"/>
  <c r="H327" i="61"/>
  <c r="G327" i="61"/>
  <c r="F327" i="61"/>
  <c r="C327" i="61"/>
  <c r="B327" i="61"/>
  <c r="AA326" i="61"/>
  <c r="Y326" i="61"/>
  <c r="X326" i="61"/>
  <c r="W326" i="61"/>
  <c r="V326" i="61"/>
  <c r="U326" i="61"/>
  <c r="T326" i="61"/>
  <c r="S326" i="61"/>
  <c r="R326" i="61"/>
  <c r="Q326" i="61"/>
  <c r="P326" i="61"/>
  <c r="O326" i="61"/>
  <c r="N326" i="61"/>
  <c r="M326" i="61"/>
  <c r="L326" i="61"/>
  <c r="K326" i="61"/>
  <c r="J326" i="61"/>
  <c r="I326" i="61"/>
  <c r="H326" i="61"/>
  <c r="G326" i="61"/>
  <c r="F326" i="61"/>
  <c r="C326" i="61"/>
  <c r="B326" i="61"/>
  <c r="AA325" i="61"/>
  <c r="Y325" i="61"/>
  <c r="W325" i="61"/>
  <c r="V325" i="61"/>
  <c r="U325" i="61"/>
  <c r="T325" i="61"/>
  <c r="S325" i="61"/>
  <c r="R325" i="61"/>
  <c r="Q325" i="61"/>
  <c r="P325" i="61"/>
  <c r="O325" i="61"/>
  <c r="N325" i="61"/>
  <c r="M325" i="61"/>
  <c r="L325" i="61"/>
  <c r="K325" i="61"/>
  <c r="J325" i="61"/>
  <c r="I325" i="61"/>
  <c r="H325" i="61"/>
  <c r="G325" i="61"/>
  <c r="F325" i="61"/>
  <c r="C325" i="61"/>
  <c r="B325" i="61"/>
  <c r="AA324" i="61"/>
  <c r="Y324" i="61"/>
  <c r="X324" i="61"/>
  <c r="W324" i="61"/>
  <c r="V324" i="61"/>
  <c r="U324" i="61"/>
  <c r="T324" i="61"/>
  <c r="S324" i="61"/>
  <c r="R324" i="61"/>
  <c r="Q324" i="61"/>
  <c r="P324" i="61"/>
  <c r="O324" i="61"/>
  <c r="N324" i="61"/>
  <c r="M324" i="61"/>
  <c r="L324" i="61"/>
  <c r="K324" i="61"/>
  <c r="J324" i="61"/>
  <c r="I324" i="61"/>
  <c r="H324" i="61"/>
  <c r="G324" i="61"/>
  <c r="F324" i="61"/>
  <c r="C324" i="61"/>
  <c r="B324" i="61"/>
  <c r="AA323" i="61"/>
  <c r="Z323" i="61"/>
  <c r="Y323" i="61"/>
  <c r="X323" i="61"/>
  <c r="W323" i="61"/>
  <c r="V323" i="61"/>
  <c r="U323" i="61"/>
  <c r="T323" i="61"/>
  <c r="S323" i="61"/>
  <c r="R323" i="61"/>
  <c r="Q323" i="61"/>
  <c r="P323" i="61"/>
  <c r="O323" i="61"/>
  <c r="N323" i="61"/>
  <c r="M323" i="61"/>
  <c r="L323" i="61"/>
  <c r="K323" i="61"/>
  <c r="J323" i="61"/>
  <c r="I323" i="61"/>
  <c r="H323" i="61"/>
  <c r="G323" i="61"/>
  <c r="F323" i="61"/>
  <c r="C323" i="61"/>
  <c r="B323" i="61"/>
  <c r="AA322" i="61"/>
  <c r="Z322" i="61"/>
  <c r="Y322" i="61"/>
  <c r="X322" i="61"/>
  <c r="W322" i="61"/>
  <c r="V322" i="61"/>
  <c r="U322" i="61"/>
  <c r="T322" i="61"/>
  <c r="S322" i="61"/>
  <c r="R322" i="61"/>
  <c r="Q322" i="61"/>
  <c r="P322" i="61"/>
  <c r="O322" i="61"/>
  <c r="N322" i="61"/>
  <c r="M322" i="61"/>
  <c r="L322" i="61"/>
  <c r="K322" i="61"/>
  <c r="J322" i="61"/>
  <c r="I322" i="61"/>
  <c r="H322" i="61"/>
  <c r="G322" i="61"/>
  <c r="F322" i="61"/>
  <c r="C322" i="61"/>
  <c r="B322" i="61"/>
  <c r="AA321" i="61"/>
  <c r="Y321" i="61"/>
  <c r="W321" i="61"/>
  <c r="V321" i="61"/>
  <c r="U321" i="61"/>
  <c r="T321" i="61"/>
  <c r="S321" i="61"/>
  <c r="R321" i="61"/>
  <c r="Q321" i="61"/>
  <c r="P321" i="61"/>
  <c r="O321" i="61"/>
  <c r="N321" i="61"/>
  <c r="M321" i="61"/>
  <c r="L321" i="61"/>
  <c r="K321" i="61"/>
  <c r="J321" i="61"/>
  <c r="I321" i="61"/>
  <c r="H321" i="61"/>
  <c r="G321" i="61"/>
  <c r="F321" i="61"/>
  <c r="C321" i="61"/>
  <c r="B321" i="61"/>
  <c r="AA320" i="61"/>
  <c r="Y320" i="61"/>
  <c r="X320" i="61"/>
  <c r="W320" i="61"/>
  <c r="V320" i="61"/>
  <c r="U320" i="61"/>
  <c r="T320" i="61"/>
  <c r="S320" i="61"/>
  <c r="R320" i="61"/>
  <c r="Q320" i="61"/>
  <c r="P320" i="61"/>
  <c r="O320" i="61"/>
  <c r="N320" i="61"/>
  <c r="M320" i="61"/>
  <c r="L320" i="61"/>
  <c r="K320" i="61"/>
  <c r="J320" i="61"/>
  <c r="I320" i="61"/>
  <c r="H320" i="61"/>
  <c r="G320" i="61"/>
  <c r="F320" i="61"/>
  <c r="C320" i="61"/>
  <c r="B320" i="61"/>
  <c r="AA319" i="61"/>
  <c r="Z319" i="61"/>
  <c r="Y319" i="61"/>
  <c r="X319" i="61"/>
  <c r="W319" i="61"/>
  <c r="V319" i="61"/>
  <c r="U319" i="61"/>
  <c r="T319" i="61"/>
  <c r="S319" i="61"/>
  <c r="R319" i="61"/>
  <c r="Q319" i="61"/>
  <c r="P319" i="61"/>
  <c r="O319" i="61"/>
  <c r="N319" i="61"/>
  <c r="M319" i="61"/>
  <c r="L319" i="61"/>
  <c r="K319" i="61"/>
  <c r="J319" i="61"/>
  <c r="I319" i="61"/>
  <c r="H319" i="61"/>
  <c r="G319" i="61"/>
  <c r="F319" i="61"/>
  <c r="C319" i="61"/>
  <c r="B319" i="61"/>
  <c r="AA318" i="61"/>
  <c r="Y318" i="61"/>
  <c r="W318" i="61"/>
  <c r="V318" i="61"/>
  <c r="U318" i="61"/>
  <c r="T318" i="61"/>
  <c r="S318" i="61"/>
  <c r="R318" i="61"/>
  <c r="Q318" i="61"/>
  <c r="P318" i="61"/>
  <c r="O318" i="61"/>
  <c r="N318" i="61"/>
  <c r="M318" i="61"/>
  <c r="L318" i="61"/>
  <c r="K318" i="61"/>
  <c r="J318" i="61"/>
  <c r="I318" i="61"/>
  <c r="H318" i="61"/>
  <c r="G318" i="61"/>
  <c r="F318" i="61"/>
  <c r="C318" i="61"/>
  <c r="B318" i="61"/>
  <c r="AA317" i="61"/>
  <c r="Y317" i="61"/>
  <c r="W317" i="61"/>
  <c r="V317" i="61"/>
  <c r="U317" i="61"/>
  <c r="T317" i="61"/>
  <c r="S317" i="61"/>
  <c r="R317" i="61"/>
  <c r="Q317" i="61"/>
  <c r="P317" i="61"/>
  <c r="O317" i="61"/>
  <c r="N317" i="61"/>
  <c r="M317" i="61"/>
  <c r="L317" i="61"/>
  <c r="K317" i="61"/>
  <c r="J317" i="61"/>
  <c r="I317" i="61"/>
  <c r="H317" i="61"/>
  <c r="G317" i="61"/>
  <c r="F317" i="61"/>
  <c r="C317" i="61"/>
  <c r="B317" i="61"/>
  <c r="AA316" i="61"/>
  <c r="Y316" i="61"/>
  <c r="X316" i="61"/>
  <c r="W316" i="61"/>
  <c r="V316" i="61"/>
  <c r="U316" i="61"/>
  <c r="T316" i="61"/>
  <c r="S316" i="61"/>
  <c r="R316" i="61"/>
  <c r="Q316" i="61"/>
  <c r="P316" i="61"/>
  <c r="O316" i="61"/>
  <c r="N316" i="61"/>
  <c r="M316" i="61"/>
  <c r="L316" i="61"/>
  <c r="K316" i="61"/>
  <c r="J316" i="61"/>
  <c r="I316" i="61"/>
  <c r="H316" i="61"/>
  <c r="G316" i="61"/>
  <c r="F316" i="61"/>
  <c r="C316" i="61"/>
  <c r="B316" i="61"/>
  <c r="AA315" i="61"/>
  <c r="Z315" i="61"/>
  <c r="Y315" i="61"/>
  <c r="W315" i="61"/>
  <c r="V315" i="61"/>
  <c r="U315" i="61"/>
  <c r="T315" i="61"/>
  <c r="S315" i="61"/>
  <c r="R315" i="61"/>
  <c r="Q315" i="61"/>
  <c r="P315" i="61"/>
  <c r="O315" i="61"/>
  <c r="N315" i="61"/>
  <c r="M315" i="61"/>
  <c r="L315" i="61"/>
  <c r="K315" i="61"/>
  <c r="J315" i="61"/>
  <c r="I315" i="61"/>
  <c r="H315" i="61"/>
  <c r="G315" i="61"/>
  <c r="F315" i="61"/>
  <c r="C315" i="61"/>
  <c r="B315" i="61"/>
  <c r="AA314" i="61"/>
  <c r="Y314" i="61"/>
  <c r="X314" i="61"/>
  <c r="W314" i="61"/>
  <c r="V314" i="61"/>
  <c r="U314" i="61"/>
  <c r="T314" i="61"/>
  <c r="S314" i="61"/>
  <c r="R314" i="61"/>
  <c r="Q314" i="61"/>
  <c r="P314" i="61"/>
  <c r="O314" i="61"/>
  <c r="N314" i="61"/>
  <c r="M314" i="61"/>
  <c r="L314" i="61"/>
  <c r="K314" i="61"/>
  <c r="J314" i="61"/>
  <c r="I314" i="61"/>
  <c r="H314" i="61"/>
  <c r="G314" i="61"/>
  <c r="F314" i="61"/>
  <c r="C314" i="61"/>
  <c r="B314" i="61"/>
  <c r="AA313" i="61"/>
  <c r="Y313" i="61"/>
  <c r="W313" i="61"/>
  <c r="V313" i="61"/>
  <c r="U313" i="61"/>
  <c r="T313" i="61"/>
  <c r="S313" i="61"/>
  <c r="R313" i="61"/>
  <c r="Q313" i="61"/>
  <c r="P313" i="61"/>
  <c r="O313" i="61"/>
  <c r="N313" i="61"/>
  <c r="M313" i="61"/>
  <c r="L313" i="61"/>
  <c r="K313" i="61"/>
  <c r="J313" i="61"/>
  <c r="I313" i="61"/>
  <c r="H313" i="61"/>
  <c r="G313" i="61"/>
  <c r="F313" i="61"/>
  <c r="C313" i="61"/>
  <c r="B313" i="61"/>
  <c r="AA312" i="61"/>
  <c r="Y312" i="61"/>
  <c r="X312" i="61"/>
  <c r="W312" i="61"/>
  <c r="V312" i="61"/>
  <c r="U312" i="61"/>
  <c r="T312" i="61"/>
  <c r="S312" i="61"/>
  <c r="R312" i="61"/>
  <c r="Q312" i="61"/>
  <c r="P312" i="61"/>
  <c r="O312" i="61"/>
  <c r="N312" i="61"/>
  <c r="M312" i="61"/>
  <c r="L312" i="61"/>
  <c r="K312" i="61"/>
  <c r="J312" i="61"/>
  <c r="I312" i="61"/>
  <c r="H312" i="61"/>
  <c r="G312" i="61"/>
  <c r="F312" i="61"/>
  <c r="C312" i="61"/>
  <c r="B312" i="61"/>
  <c r="AA311" i="61"/>
  <c r="Z311" i="61"/>
  <c r="Y311" i="61"/>
  <c r="W311" i="61"/>
  <c r="V311" i="61"/>
  <c r="U311" i="61"/>
  <c r="S311" i="61"/>
  <c r="R311" i="61"/>
  <c r="Q311" i="61"/>
  <c r="P311" i="61"/>
  <c r="O311" i="61"/>
  <c r="N311" i="61"/>
  <c r="M311" i="61"/>
  <c r="L311" i="61"/>
  <c r="K311" i="61"/>
  <c r="J311" i="61"/>
  <c r="I311" i="61"/>
  <c r="H311" i="61"/>
  <c r="G311" i="61"/>
  <c r="F311" i="61"/>
  <c r="C311" i="61"/>
  <c r="B311" i="61"/>
  <c r="AA310" i="61"/>
  <c r="W310" i="61"/>
  <c r="V310" i="61"/>
  <c r="U310" i="61"/>
  <c r="S310" i="61"/>
  <c r="R310" i="61"/>
  <c r="Q310" i="61"/>
  <c r="P310" i="61"/>
  <c r="O310" i="61"/>
  <c r="N310" i="61"/>
  <c r="M310" i="61"/>
  <c r="L310" i="61"/>
  <c r="K310" i="61"/>
  <c r="J310" i="61"/>
  <c r="I310" i="61"/>
  <c r="H310" i="61"/>
  <c r="G310" i="61"/>
  <c r="F310" i="61"/>
  <c r="C310" i="61"/>
  <c r="B310" i="61"/>
  <c r="AA309" i="61"/>
  <c r="W309" i="61"/>
  <c r="V309" i="61"/>
  <c r="U309" i="61"/>
  <c r="T309" i="61"/>
  <c r="S309" i="61"/>
  <c r="R309" i="61"/>
  <c r="Q309" i="61"/>
  <c r="P309" i="61"/>
  <c r="O309" i="61"/>
  <c r="N309" i="61"/>
  <c r="M309" i="61"/>
  <c r="L309" i="61"/>
  <c r="K309" i="61"/>
  <c r="J309" i="61"/>
  <c r="I309" i="61"/>
  <c r="H309" i="61"/>
  <c r="G309" i="61"/>
  <c r="F309" i="61"/>
  <c r="C309" i="61"/>
  <c r="B309" i="61"/>
  <c r="AA308" i="61"/>
  <c r="Y308" i="61"/>
  <c r="X308" i="61"/>
  <c r="W308" i="61"/>
  <c r="V308" i="61"/>
  <c r="U308" i="61"/>
  <c r="T308" i="61"/>
  <c r="S308" i="61"/>
  <c r="R308" i="61"/>
  <c r="Q308" i="61"/>
  <c r="P308" i="61"/>
  <c r="O308" i="61"/>
  <c r="N308" i="61"/>
  <c r="M308" i="61"/>
  <c r="L308" i="61"/>
  <c r="K308" i="61"/>
  <c r="J308" i="61"/>
  <c r="I308" i="61"/>
  <c r="H308" i="61"/>
  <c r="G308" i="61"/>
  <c r="F308" i="61"/>
  <c r="C308" i="61"/>
  <c r="B308" i="61"/>
  <c r="AA307" i="61"/>
  <c r="Z307" i="61"/>
  <c r="Y307" i="61"/>
  <c r="W307" i="61"/>
  <c r="V307" i="61"/>
  <c r="U307" i="61"/>
  <c r="S307" i="61"/>
  <c r="R307" i="61"/>
  <c r="Q307" i="61"/>
  <c r="P307" i="61"/>
  <c r="O307" i="61"/>
  <c r="N307" i="61"/>
  <c r="M307" i="61"/>
  <c r="L307" i="61"/>
  <c r="K307" i="61"/>
  <c r="J307" i="61"/>
  <c r="I307" i="61"/>
  <c r="H307" i="61"/>
  <c r="G307" i="61"/>
  <c r="F307" i="61"/>
  <c r="C307" i="61"/>
  <c r="B307" i="61"/>
  <c r="AA306" i="61"/>
  <c r="X306" i="61"/>
  <c r="W306" i="61"/>
  <c r="V306" i="61"/>
  <c r="U306" i="61"/>
  <c r="T306" i="61"/>
  <c r="S306" i="61"/>
  <c r="R306" i="61"/>
  <c r="Q306" i="61"/>
  <c r="P306" i="61"/>
  <c r="O306" i="61"/>
  <c r="N306" i="61"/>
  <c r="M306" i="61"/>
  <c r="L306" i="61"/>
  <c r="K306" i="61"/>
  <c r="J306" i="61"/>
  <c r="I306" i="61"/>
  <c r="H306" i="61"/>
  <c r="G306" i="61"/>
  <c r="F306" i="61"/>
  <c r="C306" i="61"/>
  <c r="B306" i="61"/>
  <c r="AA305" i="61"/>
  <c r="Z305" i="61"/>
  <c r="Y305" i="61"/>
  <c r="B300" i="61"/>
  <c r="J1" i="61"/>
  <c r="B299" i="61" s="1"/>
  <c r="I26" i="58"/>
  <c r="I23" i="58"/>
  <c r="I325" i="58" s="1"/>
  <c r="M33" i="58"/>
  <c r="M335" i="58" s="1"/>
  <c r="L335" i="58"/>
  <c r="K33" i="58"/>
  <c r="K335" i="58" s="1"/>
  <c r="J335" i="58"/>
  <c r="I33" i="58"/>
  <c r="I335" i="58" s="1"/>
  <c r="H335" i="58"/>
  <c r="G33" i="58"/>
  <c r="G335" i="58" s="1"/>
  <c r="F335" i="58"/>
  <c r="E33" i="58"/>
  <c r="E335" i="58" s="1"/>
  <c r="D335" i="58"/>
  <c r="C33" i="58"/>
  <c r="C335" i="58" s="1"/>
  <c r="B335" i="58"/>
  <c r="M34" i="58"/>
  <c r="M336" i="58" s="1"/>
  <c r="K26" i="58"/>
  <c r="K34" i="58"/>
  <c r="K336" i="58" s="1"/>
  <c r="I34" i="58"/>
  <c r="I336" i="58" s="1"/>
  <c r="G34" i="58"/>
  <c r="G336" i="58" s="1"/>
  <c r="E26" i="58"/>
  <c r="E32" i="58" s="1"/>
  <c r="E334" i="58" s="1"/>
  <c r="C26" i="58"/>
  <c r="L336" i="58"/>
  <c r="J336" i="58"/>
  <c r="H336" i="58"/>
  <c r="F336" i="58"/>
  <c r="D336" i="58"/>
  <c r="B336" i="58"/>
  <c r="O1" i="58"/>
  <c r="B345" i="58"/>
  <c r="N344" i="58"/>
  <c r="M344" i="58"/>
  <c r="L344" i="58"/>
  <c r="K344" i="58"/>
  <c r="J344" i="58"/>
  <c r="I344" i="58"/>
  <c r="H344" i="58"/>
  <c r="G344" i="58"/>
  <c r="F344" i="58"/>
  <c r="E344" i="58"/>
  <c r="D344" i="58"/>
  <c r="C344" i="58"/>
  <c r="B344" i="58"/>
  <c r="N343" i="58"/>
  <c r="M343" i="58"/>
  <c r="L343" i="58"/>
  <c r="K343" i="58"/>
  <c r="J343" i="58"/>
  <c r="I343" i="58"/>
  <c r="H343" i="58"/>
  <c r="G343" i="58"/>
  <c r="F343" i="58"/>
  <c r="E343" i="58"/>
  <c r="D343" i="58"/>
  <c r="C343" i="58"/>
  <c r="B343" i="58"/>
  <c r="N342" i="58"/>
  <c r="L342" i="58"/>
  <c r="K40" i="58"/>
  <c r="K342" i="58"/>
  <c r="J342" i="58"/>
  <c r="I39" i="58"/>
  <c r="I40" i="58" s="1"/>
  <c r="I342" i="58" s="1"/>
  <c r="H342" i="58"/>
  <c r="G342" i="58"/>
  <c r="F342" i="58"/>
  <c r="E342" i="58"/>
  <c r="D342" i="58"/>
  <c r="C342" i="58"/>
  <c r="B342" i="58"/>
  <c r="N341" i="58"/>
  <c r="M39" i="58"/>
  <c r="M341" i="58" s="1"/>
  <c r="L341" i="58"/>
  <c r="K39" i="58"/>
  <c r="K341" i="58" s="1"/>
  <c r="J341" i="58"/>
  <c r="H341" i="58"/>
  <c r="G341" i="58"/>
  <c r="F341" i="58"/>
  <c r="E341" i="58"/>
  <c r="D341" i="58"/>
  <c r="C341" i="58"/>
  <c r="B341" i="58"/>
  <c r="N340" i="58"/>
  <c r="M340" i="58"/>
  <c r="L340" i="58"/>
  <c r="K340" i="58"/>
  <c r="J340" i="58"/>
  <c r="I340" i="58"/>
  <c r="H340" i="58"/>
  <c r="G340" i="58"/>
  <c r="F340" i="58"/>
  <c r="E340" i="58"/>
  <c r="D340" i="58"/>
  <c r="C340" i="58"/>
  <c r="B340" i="58"/>
  <c r="N339" i="58"/>
  <c r="M339" i="58"/>
  <c r="L339" i="58"/>
  <c r="K339" i="58"/>
  <c r="J339" i="58"/>
  <c r="I339" i="58"/>
  <c r="H339" i="58"/>
  <c r="G339" i="58"/>
  <c r="F339" i="58"/>
  <c r="E339" i="58"/>
  <c r="D339" i="58"/>
  <c r="C339" i="58"/>
  <c r="B339" i="58"/>
  <c r="N338" i="58"/>
  <c r="M338" i="58"/>
  <c r="L338" i="58"/>
  <c r="K338" i="58"/>
  <c r="J338" i="58"/>
  <c r="I338" i="58"/>
  <c r="H338" i="58"/>
  <c r="G338" i="58"/>
  <c r="F338" i="58"/>
  <c r="E338" i="58"/>
  <c r="D338" i="58"/>
  <c r="C338" i="58"/>
  <c r="B338" i="58"/>
  <c r="N337" i="58"/>
  <c r="L337" i="58"/>
  <c r="K15" i="58"/>
  <c r="K17" i="58" s="1"/>
  <c r="K319" i="58" s="1"/>
  <c r="K23" i="58"/>
  <c r="J337" i="58"/>
  <c r="I15" i="58"/>
  <c r="I317" i="58" s="1"/>
  <c r="H337" i="58"/>
  <c r="G35" i="58"/>
  <c r="G337" i="58" s="1"/>
  <c r="F337" i="58"/>
  <c r="E15" i="58"/>
  <c r="E17" i="58" s="1"/>
  <c r="E23" i="58"/>
  <c r="D337" i="58"/>
  <c r="C23" i="58"/>
  <c r="B337" i="58"/>
  <c r="N334" i="58"/>
  <c r="M32" i="58"/>
  <c r="M334" i="58" s="1"/>
  <c r="L334" i="58"/>
  <c r="J334" i="58"/>
  <c r="H334" i="58"/>
  <c r="G32" i="58"/>
  <c r="G334" i="58" s="1"/>
  <c r="F334" i="58"/>
  <c r="D334" i="58"/>
  <c r="B334" i="58"/>
  <c r="N333" i="58"/>
  <c r="L333" i="58"/>
  <c r="J333" i="58"/>
  <c r="H333" i="58"/>
  <c r="G31" i="58"/>
  <c r="G333" i="58" s="1"/>
  <c r="F333" i="58"/>
  <c r="D333" i="58"/>
  <c r="B333" i="58"/>
  <c r="N332" i="58"/>
  <c r="L332" i="58"/>
  <c r="J332" i="58"/>
  <c r="H332" i="58"/>
  <c r="F332" i="58"/>
  <c r="D332" i="58"/>
  <c r="B332" i="58"/>
  <c r="N331" i="58"/>
  <c r="M331" i="58"/>
  <c r="L331" i="58"/>
  <c r="K331" i="58"/>
  <c r="J331" i="58"/>
  <c r="I331" i="58"/>
  <c r="H331" i="58"/>
  <c r="G331" i="58"/>
  <c r="F331" i="58"/>
  <c r="E331" i="58"/>
  <c r="D331" i="58"/>
  <c r="C331" i="58"/>
  <c r="B331" i="58"/>
  <c r="N330" i="58"/>
  <c r="L330" i="58"/>
  <c r="J330" i="58"/>
  <c r="H330" i="58"/>
  <c r="F330" i="58"/>
  <c r="D330" i="58"/>
  <c r="B330" i="58"/>
  <c r="N329" i="58"/>
  <c r="M329" i="58"/>
  <c r="L329" i="58"/>
  <c r="K329" i="58"/>
  <c r="J329" i="58"/>
  <c r="I329" i="58"/>
  <c r="H329" i="58"/>
  <c r="G329" i="58"/>
  <c r="F329" i="58"/>
  <c r="E329" i="58"/>
  <c r="D329" i="58"/>
  <c r="C329" i="58"/>
  <c r="B329" i="58"/>
  <c r="N328" i="58"/>
  <c r="M328" i="58"/>
  <c r="L328" i="58"/>
  <c r="J328" i="58"/>
  <c r="I328" i="58"/>
  <c r="H328" i="58"/>
  <c r="G328" i="58"/>
  <c r="F328" i="58"/>
  <c r="D328" i="58"/>
  <c r="B328" i="58"/>
  <c r="N327" i="58"/>
  <c r="M327" i="58"/>
  <c r="L327" i="58"/>
  <c r="K327" i="58"/>
  <c r="J327" i="58"/>
  <c r="I327" i="58"/>
  <c r="H327" i="58"/>
  <c r="G327" i="58"/>
  <c r="F327" i="58"/>
  <c r="E327" i="58"/>
  <c r="D327" i="58"/>
  <c r="C327" i="58"/>
  <c r="B327" i="58"/>
  <c r="N326" i="58"/>
  <c r="M326" i="58"/>
  <c r="L326" i="58"/>
  <c r="K326" i="58"/>
  <c r="J326" i="58"/>
  <c r="I326" i="58"/>
  <c r="H326" i="58"/>
  <c r="G326" i="58"/>
  <c r="F326" i="58"/>
  <c r="E326" i="58"/>
  <c r="D326" i="58"/>
  <c r="C326" i="58"/>
  <c r="B326" i="58"/>
  <c r="N325" i="58"/>
  <c r="L325" i="58"/>
  <c r="K325" i="58"/>
  <c r="J325" i="58"/>
  <c r="H325" i="58"/>
  <c r="F325" i="58"/>
  <c r="D325" i="58"/>
  <c r="B325" i="58"/>
  <c r="M324" i="58"/>
  <c r="L324" i="58"/>
  <c r="K324" i="58"/>
  <c r="J324" i="58"/>
  <c r="I324" i="58"/>
  <c r="H324" i="58"/>
  <c r="G324" i="58"/>
  <c r="F324" i="58"/>
  <c r="E324" i="58"/>
  <c r="D324" i="58"/>
  <c r="C324" i="58"/>
  <c r="B324" i="58"/>
  <c r="N323" i="58"/>
  <c r="M323" i="58"/>
  <c r="L323" i="58"/>
  <c r="K323" i="58"/>
  <c r="J323" i="58"/>
  <c r="I323" i="58"/>
  <c r="H323" i="58"/>
  <c r="G323" i="58"/>
  <c r="F323" i="58"/>
  <c r="E323" i="58"/>
  <c r="D323" i="58"/>
  <c r="C323" i="58"/>
  <c r="B323" i="58"/>
  <c r="N322" i="58"/>
  <c r="M322" i="58"/>
  <c r="L322" i="58"/>
  <c r="K322" i="58"/>
  <c r="J322" i="58"/>
  <c r="I322" i="58"/>
  <c r="H322" i="58"/>
  <c r="G322" i="58"/>
  <c r="F322" i="58"/>
  <c r="E322" i="58"/>
  <c r="D322" i="58"/>
  <c r="C322" i="58"/>
  <c r="B322" i="58"/>
  <c r="N321" i="58"/>
  <c r="M321" i="58"/>
  <c r="L321" i="58"/>
  <c r="K321" i="58"/>
  <c r="J321" i="58"/>
  <c r="I321" i="58"/>
  <c r="H321" i="58"/>
  <c r="G321" i="58"/>
  <c r="F321" i="58"/>
  <c r="E321" i="58"/>
  <c r="D321" i="58"/>
  <c r="C321" i="58"/>
  <c r="B321" i="58"/>
  <c r="N320" i="58"/>
  <c r="M320" i="58"/>
  <c r="L320" i="58"/>
  <c r="K320" i="58"/>
  <c r="J320" i="58"/>
  <c r="I320" i="58"/>
  <c r="H320" i="58"/>
  <c r="G320" i="58"/>
  <c r="F320" i="58"/>
  <c r="E320" i="58"/>
  <c r="D320" i="58"/>
  <c r="C320" i="58"/>
  <c r="B320" i="58"/>
  <c r="N319" i="58"/>
  <c r="L319" i="58"/>
  <c r="J319" i="58"/>
  <c r="H319" i="58"/>
  <c r="F319" i="58"/>
  <c r="D319" i="58"/>
  <c r="B319" i="58"/>
  <c r="N318" i="58"/>
  <c r="M318" i="58"/>
  <c r="L318" i="58"/>
  <c r="K318" i="58"/>
  <c r="J318" i="58"/>
  <c r="I318" i="58"/>
  <c r="H318" i="58"/>
  <c r="G318" i="58"/>
  <c r="F318" i="58"/>
  <c r="E318" i="58"/>
  <c r="D318" i="58"/>
  <c r="C318" i="58"/>
  <c r="B318" i="58"/>
  <c r="N317" i="58"/>
  <c r="L317" i="58"/>
  <c r="J317" i="58"/>
  <c r="H317" i="58"/>
  <c r="G317" i="58"/>
  <c r="F317" i="58"/>
  <c r="D317" i="58"/>
  <c r="B317" i="58"/>
  <c r="M316" i="58"/>
  <c r="L316" i="58"/>
  <c r="K316" i="58"/>
  <c r="J316" i="58"/>
  <c r="I316" i="58"/>
  <c r="H316" i="58"/>
  <c r="G316" i="58"/>
  <c r="F316" i="58"/>
  <c r="E316" i="58"/>
  <c r="D316" i="58"/>
  <c r="C316" i="58"/>
  <c r="B316" i="58"/>
  <c r="N315" i="58"/>
  <c r="M315" i="58"/>
  <c r="L315" i="58"/>
  <c r="K315" i="58"/>
  <c r="J315" i="58"/>
  <c r="I315" i="58"/>
  <c r="H315" i="58"/>
  <c r="G315" i="58"/>
  <c r="F315" i="58"/>
  <c r="E315" i="58"/>
  <c r="D315" i="58"/>
  <c r="C315" i="58"/>
  <c r="B315" i="58"/>
  <c r="N314" i="58"/>
  <c r="M314" i="58"/>
  <c r="L314" i="58"/>
  <c r="K314" i="58"/>
  <c r="J314" i="58"/>
  <c r="I314" i="58"/>
  <c r="H314" i="58"/>
  <c r="G314" i="58"/>
  <c r="F314" i="58"/>
  <c r="E314" i="58"/>
  <c r="D314" i="58"/>
  <c r="C314" i="58"/>
  <c r="B314" i="58"/>
  <c r="N313" i="58"/>
  <c r="M313" i="58"/>
  <c r="L313" i="58"/>
  <c r="K313" i="58"/>
  <c r="J313" i="58"/>
  <c r="I313" i="58"/>
  <c r="H313" i="58"/>
  <c r="G313" i="58"/>
  <c r="F313" i="58"/>
  <c r="E313" i="58"/>
  <c r="D313" i="58"/>
  <c r="C313" i="58"/>
  <c r="B313" i="58"/>
  <c r="N312" i="58"/>
  <c r="M312" i="58"/>
  <c r="L312" i="58"/>
  <c r="K312" i="58"/>
  <c r="J312" i="58"/>
  <c r="I312" i="58"/>
  <c r="H312" i="58"/>
  <c r="G312" i="58"/>
  <c r="F312" i="58"/>
  <c r="E312" i="58"/>
  <c r="D312" i="58"/>
  <c r="C312" i="58"/>
  <c r="B312" i="58"/>
  <c r="N311" i="58"/>
  <c r="M311" i="58"/>
  <c r="L311" i="58"/>
  <c r="K311" i="58"/>
  <c r="J311" i="58"/>
  <c r="I311" i="58"/>
  <c r="H311" i="58"/>
  <c r="G311" i="58"/>
  <c r="F311" i="58"/>
  <c r="E311" i="58"/>
  <c r="D311" i="58"/>
  <c r="B311" i="58"/>
  <c r="N310" i="58"/>
  <c r="M310" i="58"/>
  <c r="L310" i="58"/>
  <c r="K310" i="58"/>
  <c r="J310" i="58"/>
  <c r="I310" i="58"/>
  <c r="H310" i="58"/>
  <c r="G310" i="58"/>
  <c r="F310" i="58"/>
  <c r="E310" i="58"/>
  <c r="D310" i="58"/>
  <c r="C310" i="58"/>
  <c r="B310" i="58"/>
  <c r="N309" i="58"/>
  <c r="M309" i="58"/>
  <c r="L309" i="58"/>
  <c r="K309" i="58"/>
  <c r="J309" i="58"/>
  <c r="I309" i="58"/>
  <c r="H309" i="58"/>
  <c r="G309" i="58"/>
  <c r="F309" i="58"/>
  <c r="E309" i="58"/>
  <c r="D309" i="58"/>
  <c r="C309" i="58"/>
  <c r="B304" i="58"/>
  <c r="C1" i="58"/>
  <c r="B303" i="58" s="1"/>
  <c r="O5" i="64"/>
  <c r="O3" i="64"/>
  <c r="O4" i="64" s="1"/>
  <c r="C3" i="54" s="1"/>
  <c r="D15" i="64"/>
  <c r="Y343" i="57"/>
  <c r="X343" i="57"/>
  <c r="W343" i="57"/>
  <c r="V343" i="57"/>
  <c r="U343" i="57"/>
  <c r="T343" i="57"/>
  <c r="S343" i="57"/>
  <c r="R343" i="57"/>
  <c r="Q343" i="57"/>
  <c r="P343" i="57"/>
  <c r="O343" i="57"/>
  <c r="N343" i="57"/>
  <c r="M343" i="57"/>
  <c r="L343" i="57"/>
  <c r="K343" i="57"/>
  <c r="J343" i="57"/>
  <c r="I343" i="57"/>
  <c r="H343" i="57"/>
  <c r="G343" i="57"/>
  <c r="F343" i="57"/>
  <c r="E343" i="57"/>
  <c r="D343" i="57"/>
  <c r="Y342" i="57"/>
  <c r="X342" i="57"/>
  <c r="W342" i="57"/>
  <c r="V342" i="57"/>
  <c r="U342" i="57"/>
  <c r="T342" i="57"/>
  <c r="S342" i="57"/>
  <c r="R342" i="57"/>
  <c r="Q342" i="57"/>
  <c r="P342" i="57"/>
  <c r="O342" i="57"/>
  <c r="N342" i="57"/>
  <c r="M342" i="57"/>
  <c r="L342" i="57"/>
  <c r="K342" i="57"/>
  <c r="J342" i="57"/>
  <c r="I342" i="57"/>
  <c r="H342" i="57"/>
  <c r="G342" i="57"/>
  <c r="F342" i="57"/>
  <c r="E342" i="57"/>
  <c r="D342" i="57"/>
  <c r="C342" i="57"/>
  <c r="B342" i="57"/>
  <c r="Y341" i="57"/>
  <c r="W341" i="57"/>
  <c r="V9" i="57"/>
  <c r="V313" i="57" s="1"/>
  <c r="V25" i="57"/>
  <c r="V329" i="57" s="1"/>
  <c r="V29" i="57"/>
  <c r="V333" i="57" s="1"/>
  <c r="V36" i="57"/>
  <c r="V340" i="57" s="1"/>
  <c r="U341" i="57"/>
  <c r="S341" i="57"/>
  <c r="Q341" i="57"/>
  <c r="O341" i="57"/>
  <c r="M341" i="57"/>
  <c r="K341" i="57"/>
  <c r="I341" i="57"/>
  <c r="G341" i="57"/>
  <c r="E341" i="57"/>
  <c r="C341" i="57"/>
  <c r="B341" i="57"/>
  <c r="Y340" i="57"/>
  <c r="W340" i="57"/>
  <c r="U340" i="57"/>
  <c r="T340" i="57"/>
  <c r="S340" i="57"/>
  <c r="Q340" i="57"/>
  <c r="P340" i="57"/>
  <c r="O340" i="57"/>
  <c r="N340" i="57"/>
  <c r="M340" i="57"/>
  <c r="L340" i="57"/>
  <c r="K340" i="57"/>
  <c r="J340" i="57"/>
  <c r="I340" i="57"/>
  <c r="H340" i="57"/>
  <c r="G340" i="57"/>
  <c r="F340" i="57"/>
  <c r="E340" i="57"/>
  <c r="D340" i="57"/>
  <c r="C340" i="57"/>
  <c r="B340" i="57"/>
  <c r="Y339" i="57"/>
  <c r="W339" i="57"/>
  <c r="U339" i="57"/>
  <c r="T339" i="57"/>
  <c r="S339" i="57"/>
  <c r="R339" i="57"/>
  <c r="Q339" i="57"/>
  <c r="O339" i="57"/>
  <c r="N339" i="57"/>
  <c r="M339" i="57"/>
  <c r="L339" i="57"/>
  <c r="K339" i="57"/>
  <c r="J339" i="57"/>
  <c r="I339" i="57"/>
  <c r="H339" i="57"/>
  <c r="G339" i="57"/>
  <c r="F339" i="57"/>
  <c r="E339" i="57"/>
  <c r="D339" i="57"/>
  <c r="C339" i="57"/>
  <c r="B339" i="57"/>
  <c r="Y338" i="57"/>
  <c r="W338" i="57"/>
  <c r="U338" i="57"/>
  <c r="T338" i="57"/>
  <c r="S338" i="57"/>
  <c r="Q338" i="57"/>
  <c r="O338" i="57"/>
  <c r="N338" i="57"/>
  <c r="M338" i="57"/>
  <c r="L338" i="57"/>
  <c r="K338" i="57"/>
  <c r="J338" i="57"/>
  <c r="I338" i="57"/>
  <c r="H338" i="57"/>
  <c r="G338" i="57"/>
  <c r="F338" i="57"/>
  <c r="E338" i="57"/>
  <c r="D338" i="57"/>
  <c r="C338" i="57"/>
  <c r="B338" i="57"/>
  <c r="Y337" i="57"/>
  <c r="W337" i="57"/>
  <c r="U337" i="57"/>
  <c r="T337" i="57"/>
  <c r="S337" i="57"/>
  <c r="Q337" i="57"/>
  <c r="P337" i="57"/>
  <c r="O337" i="57"/>
  <c r="N337" i="57"/>
  <c r="M337" i="57"/>
  <c r="L337" i="57"/>
  <c r="K337" i="57"/>
  <c r="J337" i="57"/>
  <c r="I337" i="57"/>
  <c r="H337" i="57"/>
  <c r="G337" i="57"/>
  <c r="F337" i="57"/>
  <c r="E337" i="57"/>
  <c r="D337" i="57"/>
  <c r="C337" i="57"/>
  <c r="B337" i="57"/>
  <c r="Y336" i="57"/>
  <c r="W336" i="57"/>
  <c r="U336" i="57"/>
  <c r="T336" i="57"/>
  <c r="S336" i="57"/>
  <c r="Q336" i="57"/>
  <c r="O336" i="57"/>
  <c r="N336" i="57"/>
  <c r="M336" i="57"/>
  <c r="L336" i="57"/>
  <c r="K336" i="57"/>
  <c r="J336" i="57"/>
  <c r="I336" i="57"/>
  <c r="H336" i="57"/>
  <c r="G336" i="57"/>
  <c r="F336" i="57"/>
  <c r="E336" i="57"/>
  <c r="D336" i="57"/>
  <c r="C336" i="57"/>
  <c r="B336" i="57"/>
  <c r="Y335" i="57"/>
  <c r="W335" i="57"/>
  <c r="U335" i="57"/>
  <c r="T335" i="57"/>
  <c r="S335" i="57"/>
  <c r="Q335" i="57"/>
  <c r="O335" i="57"/>
  <c r="N335" i="57"/>
  <c r="M335" i="57"/>
  <c r="L335" i="57"/>
  <c r="K335" i="57"/>
  <c r="J335" i="57"/>
  <c r="I335" i="57"/>
  <c r="H335" i="57"/>
  <c r="G335" i="57"/>
  <c r="F335" i="57"/>
  <c r="E335" i="57"/>
  <c r="D335" i="57"/>
  <c r="C335" i="57"/>
  <c r="B335" i="57"/>
  <c r="Y334" i="57"/>
  <c r="W334" i="57"/>
  <c r="U334" i="57"/>
  <c r="T334" i="57"/>
  <c r="S334" i="57"/>
  <c r="Q334" i="57"/>
  <c r="O334" i="57"/>
  <c r="N334" i="57"/>
  <c r="M334" i="57"/>
  <c r="L334" i="57"/>
  <c r="K334" i="57"/>
  <c r="J334" i="57"/>
  <c r="I334" i="57"/>
  <c r="H334" i="57"/>
  <c r="G334" i="57"/>
  <c r="F334" i="57"/>
  <c r="E334" i="57"/>
  <c r="D334" i="57"/>
  <c r="C334" i="57"/>
  <c r="B334" i="57"/>
  <c r="Y333" i="57"/>
  <c r="W333" i="57"/>
  <c r="U333" i="57"/>
  <c r="T333" i="57"/>
  <c r="S333" i="57"/>
  <c r="R333" i="57"/>
  <c r="Q333" i="57"/>
  <c r="P333" i="57"/>
  <c r="O333" i="57"/>
  <c r="N333" i="57"/>
  <c r="M333" i="57"/>
  <c r="L333" i="57"/>
  <c r="K333" i="57"/>
  <c r="J333" i="57"/>
  <c r="I333" i="57"/>
  <c r="H333" i="57"/>
  <c r="G333" i="57"/>
  <c r="F333" i="57"/>
  <c r="E333" i="57"/>
  <c r="D333" i="57"/>
  <c r="C333" i="57"/>
  <c r="B333" i="57"/>
  <c r="Y332" i="57"/>
  <c r="W332" i="57"/>
  <c r="U332" i="57"/>
  <c r="T332" i="57"/>
  <c r="S332" i="57"/>
  <c r="Q332" i="57"/>
  <c r="P332" i="57"/>
  <c r="O332" i="57"/>
  <c r="N332" i="57"/>
  <c r="M332" i="57"/>
  <c r="L332" i="57"/>
  <c r="K332" i="57"/>
  <c r="J332" i="57"/>
  <c r="I332" i="57"/>
  <c r="H332" i="57"/>
  <c r="G332" i="57"/>
  <c r="F332" i="57"/>
  <c r="E332" i="57"/>
  <c r="D332" i="57"/>
  <c r="C332" i="57"/>
  <c r="B332" i="57"/>
  <c r="Y331" i="57"/>
  <c r="W331" i="57"/>
  <c r="U331" i="57"/>
  <c r="T331" i="57"/>
  <c r="S331" i="57"/>
  <c r="Q331" i="57"/>
  <c r="O331" i="57"/>
  <c r="N331" i="57"/>
  <c r="M331" i="57"/>
  <c r="L331" i="57"/>
  <c r="K331" i="57"/>
  <c r="J331" i="57"/>
  <c r="I331" i="57"/>
  <c r="H331" i="57"/>
  <c r="G331" i="57"/>
  <c r="F331" i="57"/>
  <c r="E331" i="57"/>
  <c r="D331" i="57"/>
  <c r="C331" i="57"/>
  <c r="B331" i="57"/>
  <c r="Y330" i="57"/>
  <c r="W330" i="57"/>
  <c r="U330" i="57"/>
  <c r="T330" i="57"/>
  <c r="S330" i="57"/>
  <c r="Q330" i="57"/>
  <c r="O330" i="57"/>
  <c r="N330" i="57"/>
  <c r="M330" i="57"/>
  <c r="L330" i="57"/>
  <c r="K330" i="57"/>
  <c r="J330" i="57"/>
  <c r="I330" i="57"/>
  <c r="H330" i="57"/>
  <c r="G330" i="57"/>
  <c r="F330" i="57"/>
  <c r="E330" i="57"/>
  <c r="D330" i="57"/>
  <c r="C330" i="57"/>
  <c r="B330" i="57"/>
  <c r="Y329" i="57"/>
  <c r="W329" i="57"/>
  <c r="U329" i="57"/>
  <c r="T329" i="57"/>
  <c r="S329" i="57"/>
  <c r="R329" i="57"/>
  <c r="Q329" i="57"/>
  <c r="P329" i="57"/>
  <c r="O329" i="57"/>
  <c r="N329" i="57"/>
  <c r="M329" i="57"/>
  <c r="L329" i="57"/>
  <c r="K329" i="57"/>
  <c r="J329" i="57"/>
  <c r="I329" i="57"/>
  <c r="H329" i="57"/>
  <c r="G329" i="57"/>
  <c r="F329" i="57"/>
  <c r="E329" i="57"/>
  <c r="D329" i="57"/>
  <c r="C329" i="57"/>
  <c r="B329" i="57"/>
  <c r="Y328" i="57"/>
  <c r="W328" i="57"/>
  <c r="U328" i="57"/>
  <c r="T328" i="57"/>
  <c r="S328" i="57"/>
  <c r="Q328" i="57"/>
  <c r="O328" i="57"/>
  <c r="N328" i="57"/>
  <c r="M328" i="57"/>
  <c r="L328" i="57"/>
  <c r="K328" i="57"/>
  <c r="J328" i="57"/>
  <c r="I328" i="57"/>
  <c r="H328" i="57"/>
  <c r="G328" i="57"/>
  <c r="F328" i="57"/>
  <c r="E328" i="57"/>
  <c r="D328" i="57"/>
  <c r="C328" i="57"/>
  <c r="B328" i="57"/>
  <c r="Y327" i="57"/>
  <c r="W327" i="57"/>
  <c r="U327" i="57"/>
  <c r="T327" i="57"/>
  <c r="S327" i="57"/>
  <c r="Q327" i="57"/>
  <c r="O327" i="57"/>
  <c r="N327" i="57"/>
  <c r="M327" i="57"/>
  <c r="L327" i="57"/>
  <c r="K327" i="57"/>
  <c r="J327" i="57"/>
  <c r="I327" i="57"/>
  <c r="H327" i="57"/>
  <c r="G327" i="57"/>
  <c r="F327" i="57"/>
  <c r="E327" i="57"/>
  <c r="D327" i="57"/>
  <c r="C327" i="57"/>
  <c r="B327" i="57"/>
  <c r="Y326" i="57"/>
  <c r="W326" i="57"/>
  <c r="U326" i="57"/>
  <c r="T326" i="57"/>
  <c r="S326" i="57"/>
  <c r="Q326" i="57"/>
  <c r="O326" i="57"/>
  <c r="N326" i="57"/>
  <c r="M326" i="57"/>
  <c r="L326" i="57"/>
  <c r="K326" i="57"/>
  <c r="J326" i="57"/>
  <c r="I326" i="57"/>
  <c r="H326" i="57"/>
  <c r="G326" i="57"/>
  <c r="F326" i="57"/>
  <c r="E326" i="57"/>
  <c r="D326" i="57"/>
  <c r="C326" i="57"/>
  <c r="B326" i="57"/>
  <c r="Y325" i="57"/>
  <c r="W325" i="57"/>
  <c r="U325" i="57"/>
  <c r="T325" i="57"/>
  <c r="S325" i="57"/>
  <c r="Q325" i="57"/>
  <c r="P325" i="57"/>
  <c r="O325" i="57"/>
  <c r="N325" i="57"/>
  <c r="M325" i="57"/>
  <c r="L325" i="57"/>
  <c r="K325" i="57"/>
  <c r="J325" i="57"/>
  <c r="I325" i="57"/>
  <c r="H325" i="57"/>
  <c r="G325" i="57"/>
  <c r="F325" i="57"/>
  <c r="E325" i="57"/>
  <c r="D325" i="57"/>
  <c r="C325" i="57"/>
  <c r="B325" i="57"/>
  <c r="Y324" i="57"/>
  <c r="W324" i="57"/>
  <c r="U324" i="57"/>
  <c r="T324" i="57"/>
  <c r="S324" i="57"/>
  <c r="Q324" i="57"/>
  <c r="P324" i="57"/>
  <c r="O324" i="57"/>
  <c r="N324" i="57"/>
  <c r="M324" i="57"/>
  <c r="L324" i="57"/>
  <c r="K324" i="57"/>
  <c r="J324" i="57"/>
  <c r="I324" i="57"/>
  <c r="H324" i="57"/>
  <c r="G324" i="57"/>
  <c r="F324" i="57"/>
  <c r="E324" i="57"/>
  <c r="D324" i="57"/>
  <c r="C324" i="57"/>
  <c r="B324" i="57"/>
  <c r="Y323" i="57"/>
  <c r="W323" i="57"/>
  <c r="U323" i="57"/>
  <c r="T323" i="57"/>
  <c r="S323" i="57"/>
  <c r="Q323" i="57"/>
  <c r="O323" i="57"/>
  <c r="N323" i="57"/>
  <c r="M323" i="57"/>
  <c r="L323" i="57"/>
  <c r="K323" i="57"/>
  <c r="J323" i="57"/>
  <c r="I323" i="57"/>
  <c r="H323" i="57"/>
  <c r="G323" i="57"/>
  <c r="F323" i="57"/>
  <c r="E323" i="57"/>
  <c r="D323" i="57"/>
  <c r="C323" i="57"/>
  <c r="B323" i="57"/>
  <c r="Y322" i="57"/>
  <c r="W322" i="57"/>
  <c r="U322" i="57"/>
  <c r="T322" i="57"/>
  <c r="S322" i="57"/>
  <c r="Q322" i="57"/>
  <c r="O322" i="57"/>
  <c r="N322" i="57"/>
  <c r="M322" i="57"/>
  <c r="L322" i="57"/>
  <c r="K322" i="57"/>
  <c r="J322" i="57"/>
  <c r="I322" i="57"/>
  <c r="H322" i="57"/>
  <c r="G322" i="57"/>
  <c r="F322" i="57"/>
  <c r="E322" i="57"/>
  <c r="D322" i="57"/>
  <c r="C322" i="57"/>
  <c r="B322" i="57"/>
  <c r="Y321" i="57"/>
  <c r="W321" i="57"/>
  <c r="U321" i="57"/>
  <c r="T321" i="57"/>
  <c r="S321" i="57"/>
  <c r="R321" i="57"/>
  <c r="Q321" i="57"/>
  <c r="P321" i="57"/>
  <c r="O321" i="57"/>
  <c r="N321" i="57"/>
  <c r="M321" i="57"/>
  <c r="L321" i="57"/>
  <c r="K321" i="57"/>
  <c r="J321" i="57"/>
  <c r="I321" i="57"/>
  <c r="H321" i="57"/>
  <c r="G321" i="57"/>
  <c r="F321" i="57"/>
  <c r="E321" i="57"/>
  <c r="D321" i="57"/>
  <c r="C321" i="57"/>
  <c r="B321" i="57"/>
  <c r="Y320" i="57"/>
  <c r="W320" i="57"/>
  <c r="U320" i="57"/>
  <c r="T320" i="57"/>
  <c r="S320" i="57"/>
  <c r="Q320" i="57"/>
  <c r="P320" i="57"/>
  <c r="O320" i="57"/>
  <c r="N320" i="57"/>
  <c r="M320" i="57"/>
  <c r="L320" i="57"/>
  <c r="K320" i="57"/>
  <c r="J320" i="57"/>
  <c r="I320" i="57"/>
  <c r="H320" i="57"/>
  <c r="G320" i="57"/>
  <c r="F320" i="57"/>
  <c r="E320" i="57"/>
  <c r="D320" i="57"/>
  <c r="C320" i="57"/>
  <c r="B320" i="57"/>
  <c r="Y319" i="57"/>
  <c r="W319" i="57"/>
  <c r="U319" i="57"/>
  <c r="T319" i="57"/>
  <c r="S319" i="57"/>
  <c r="Q319" i="57"/>
  <c r="P319" i="57"/>
  <c r="O319" i="57"/>
  <c r="N319" i="57"/>
  <c r="M319" i="57"/>
  <c r="L319" i="57"/>
  <c r="K319" i="57"/>
  <c r="J319" i="57"/>
  <c r="I319" i="57"/>
  <c r="H319" i="57"/>
  <c r="G319" i="57"/>
  <c r="F319" i="57"/>
  <c r="E319" i="57"/>
  <c r="D319" i="57"/>
  <c r="C319" i="57"/>
  <c r="B319" i="57"/>
  <c r="Y318" i="57"/>
  <c r="W318" i="57"/>
  <c r="U318" i="57"/>
  <c r="T318" i="57"/>
  <c r="S318" i="57"/>
  <c r="Q318" i="57"/>
  <c r="O318" i="57"/>
  <c r="N318" i="57"/>
  <c r="M318" i="57"/>
  <c r="L318" i="57"/>
  <c r="K318" i="57"/>
  <c r="J318" i="57"/>
  <c r="I318" i="57"/>
  <c r="H318" i="57"/>
  <c r="G318" i="57"/>
  <c r="F318" i="57"/>
  <c r="E318" i="57"/>
  <c r="D318" i="57"/>
  <c r="C318" i="57"/>
  <c r="B318" i="57"/>
  <c r="Y317" i="57"/>
  <c r="W317" i="57"/>
  <c r="U317" i="57"/>
  <c r="T317" i="57"/>
  <c r="S317" i="57"/>
  <c r="Q317" i="57"/>
  <c r="P317" i="57"/>
  <c r="O317" i="57"/>
  <c r="N317" i="57"/>
  <c r="M317" i="57"/>
  <c r="L317" i="57"/>
  <c r="K317" i="57"/>
  <c r="J317" i="57"/>
  <c r="I317" i="57"/>
  <c r="H317" i="57"/>
  <c r="G317" i="57"/>
  <c r="F317" i="57"/>
  <c r="E317" i="57"/>
  <c r="D317" i="57"/>
  <c r="C317" i="57"/>
  <c r="B317" i="57"/>
  <c r="Y316" i="57"/>
  <c r="W316" i="57"/>
  <c r="U316" i="57"/>
  <c r="T316" i="57"/>
  <c r="S316" i="57"/>
  <c r="Q316" i="57"/>
  <c r="O316" i="57"/>
  <c r="N316" i="57"/>
  <c r="M316" i="57"/>
  <c r="L316" i="57"/>
  <c r="K316" i="57"/>
  <c r="J316" i="57"/>
  <c r="I316" i="57"/>
  <c r="H316" i="57"/>
  <c r="G316" i="57"/>
  <c r="F316" i="57"/>
  <c r="E316" i="57"/>
  <c r="D316" i="57"/>
  <c r="C316" i="57"/>
  <c r="B316" i="57"/>
  <c r="Y315" i="57"/>
  <c r="W315" i="57"/>
  <c r="U315" i="57"/>
  <c r="T315" i="57"/>
  <c r="S315" i="57"/>
  <c r="Q315" i="57"/>
  <c r="P315" i="57"/>
  <c r="O315" i="57"/>
  <c r="N315" i="57"/>
  <c r="M315" i="57"/>
  <c r="L315" i="57"/>
  <c r="K315" i="57"/>
  <c r="J315" i="57"/>
  <c r="I315" i="57"/>
  <c r="H315" i="57"/>
  <c r="G315" i="57"/>
  <c r="F315" i="57"/>
  <c r="E315" i="57"/>
  <c r="D315" i="57"/>
  <c r="C315" i="57"/>
  <c r="B315" i="57"/>
  <c r="Y314" i="57"/>
  <c r="W314" i="57"/>
  <c r="U314" i="57"/>
  <c r="T314" i="57"/>
  <c r="S314" i="57"/>
  <c r="Q314" i="57"/>
  <c r="O314" i="57"/>
  <c r="N314" i="57"/>
  <c r="M314" i="57"/>
  <c r="L314" i="57"/>
  <c r="K314" i="57"/>
  <c r="J314" i="57"/>
  <c r="I314" i="57"/>
  <c r="H314" i="57"/>
  <c r="G314" i="57"/>
  <c r="F314" i="57"/>
  <c r="E314" i="57"/>
  <c r="D314" i="57"/>
  <c r="C314" i="57"/>
  <c r="B314" i="57"/>
  <c r="Y313" i="57"/>
  <c r="W313" i="57"/>
  <c r="U313" i="57"/>
  <c r="T313" i="57"/>
  <c r="S313" i="57"/>
  <c r="Q313" i="57"/>
  <c r="P313" i="57"/>
  <c r="O313" i="57"/>
  <c r="N313" i="57"/>
  <c r="M313" i="57"/>
  <c r="L313" i="57"/>
  <c r="K313" i="57"/>
  <c r="J313" i="57"/>
  <c r="I313" i="57"/>
  <c r="H313" i="57"/>
  <c r="G313" i="57"/>
  <c r="F313" i="57"/>
  <c r="E313" i="57"/>
  <c r="D313" i="57"/>
  <c r="C313" i="57"/>
  <c r="B313" i="57"/>
  <c r="Y312" i="57"/>
  <c r="W312" i="57"/>
  <c r="U312" i="57"/>
  <c r="T312" i="57"/>
  <c r="S312" i="57"/>
  <c r="Q312" i="57"/>
  <c r="P312" i="57"/>
  <c r="O312" i="57"/>
  <c r="N312" i="57"/>
  <c r="M312" i="57"/>
  <c r="L312" i="57"/>
  <c r="K312" i="57"/>
  <c r="J312" i="57"/>
  <c r="I312" i="57"/>
  <c r="H312" i="57"/>
  <c r="G312" i="57"/>
  <c r="F312" i="57"/>
  <c r="E312" i="57"/>
  <c r="D312" i="57"/>
  <c r="C312" i="57"/>
  <c r="B312" i="57"/>
  <c r="Y311" i="57"/>
  <c r="X311" i="57"/>
  <c r="W311" i="57"/>
  <c r="V311" i="57"/>
  <c r="U311" i="57"/>
  <c r="T311" i="57"/>
  <c r="S311" i="57"/>
  <c r="R311" i="57"/>
  <c r="Q311" i="57"/>
  <c r="P311" i="57"/>
  <c r="O311" i="57"/>
  <c r="N311" i="57"/>
  <c r="M311" i="57"/>
  <c r="L311" i="57"/>
  <c r="K311" i="57"/>
  <c r="J311" i="57"/>
  <c r="I311" i="57"/>
  <c r="H311" i="57"/>
  <c r="G311" i="57"/>
  <c r="F311" i="57"/>
  <c r="E311" i="57"/>
  <c r="D311" i="57"/>
  <c r="C311" i="57"/>
  <c r="B311" i="57"/>
  <c r="Y310" i="57"/>
  <c r="X310" i="57"/>
  <c r="W310" i="57"/>
  <c r="V310" i="57"/>
  <c r="U310" i="57"/>
  <c r="T310" i="57"/>
  <c r="S310" i="57"/>
  <c r="R310" i="57"/>
  <c r="Q310" i="57"/>
  <c r="P310" i="57"/>
  <c r="O310" i="57"/>
  <c r="N310" i="57"/>
  <c r="M310" i="57"/>
  <c r="L310" i="57"/>
  <c r="K310" i="57"/>
  <c r="J310" i="57"/>
  <c r="I310" i="57"/>
  <c r="H310" i="57"/>
  <c r="G310" i="57"/>
  <c r="F310" i="57"/>
  <c r="E310" i="57"/>
  <c r="D310" i="57"/>
  <c r="C310" i="57"/>
  <c r="B310" i="57"/>
  <c r="Y309" i="57"/>
  <c r="X309" i="57"/>
  <c r="W309" i="57"/>
  <c r="V309" i="57"/>
  <c r="U309" i="57"/>
  <c r="T309" i="57"/>
  <c r="S309" i="57"/>
  <c r="R309" i="57"/>
  <c r="Q309" i="57"/>
  <c r="P309" i="57"/>
  <c r="O309" i="57"/>
  <c r="N309" i="57"/>
  <c r="M309" i="57"/>
  <c r="L309" i="57"/>
  <c r="K309" i="57"/>
  <c r="J309" i="57"/>
  <c r="I309" i="57"/>
  <c r="H309" i="57"/>
  <c r="G309" i="57"/>
  <c r="F309" i="57"/>
  <c r="E309" i="57"/>
  <c r="D309" i="57"/>
  <c r="C309" i="57"/>
  <c r="B309" i="57"/>
  <c r="Y308" i="57"/>
  <c r="X308" i="57"/>
  <c r="W308" i="57"/>
  <c r="V308" i="57"/>
  <c r="U308" i="57"/>
  <c r="T308" i="57"/>
  <c r="S308" i="57"/>
  <c r="R308" i="57"/>
  <c r="Q308" i="57"/>
  <c r="P308" i="57"/>
  <c r="O308" i="57"/>
  <c r="N308" i="57"/>
  <c r="M308" i="57"/>
  <c r="L308" i="57"/>
  <c r="K308" i="57"/>
  <c r="J308" i="57"/>
  <c r="I308" i="57"/>
  <c r="H308" i="57"/>
  <c r="G308" i="57"/>
  <c r="F308" i="57"/>
  <c r="E308" i="57"/>
  <c r="D308" i="57"/>
  <c r="C308" i="57"/>
  <c r="B308" i="57"/>
  <c r="Y307" i="57"/>
  <c r="X307" i="57"/>
  <c r="W307" i="57"/>
  <c r="V307" i="57"/>
  <c r="U307" i="57"/>
  <c r="E3" i="57"/>
  <c r="E307" i="57" s="1"/>
  <c r="D307" i="57"/>
  <c r="C307" i="57"/>
  <c r="B307" i="57"/>
  <c r="Y306" i="57"/>
  <c r="X306" i="57"/>
  <c r="W306" i="57"/>
  <c r="V306" i="57"/>
  <c r="U306" i="57"/>
  <c r="E306" i="57"/>
  <c r="D306" i="57"/>
  <c r="C306" i="57"/>
  <c r="B306" i="57"/>
  <c r="Y305" i="57"/>
  <c r="X305" i="57"/>
  <c r="W305" i="57"/>
  <c r="V305" i="57"/>
  <c r="U305" i="57"/>
  <c r="E1" i="57"/>
  <c r="E305" i="57" s="1"/>
  <c r="D305" i="57"/>
  <c r="C305" i="57"/>
  <c r="B305" i="57"/>
  <c r="H33" i="60"/>
  <c r="P33" i="60" s="1"/>
  <c r="H34" i="60"/>
  <c r="P34" i="60" s="1"/>
  <c r="P339" i="60" s="1"/>
  <c r="H35" i="60"/>
  <c r="P35" i="60" s="1"/>
  <c r="P340" i="60" s="1"/>
  <c r="H36" i="60"/>
  <c r="P36" i="60" s="1"/>
  <c r="P341" i="60" s="1"/>
  <c r="H37" i="60"/>
  <c r="P37" i="60" s="1"/>
  <c r="P342" i="60" s="1"/>
  <c r="N33" i="60"/>
  <c r="N34" i="60"/>
  <c r="N339" i="60" s="1"/>
  <c r="N35" i="60"/>
  <c r="N340" i="60" s="1"/>
  <c r="N36" i="60"/>
  <c r="N341" i="60" s="1"/>
  <c r="N37" i="60"/>
  <c r="P343" i="60"/>
  <c r="O343" i="60"/>
  <c r="N343" i="60"/>
  <c r="M343" i="60"/>
  <c r="L343" i="60"/>
  <c r="K343" i="60"/>
  <c r="J343" i="60"/>
  <c r="I343" i="60"/>
  <c r="H343" i="60"/>
  <c r="F343" i="60"/>
  <c r="E343" i="60"/>
  <c r="D343" i="60"/>
  <c r="C343" i="60"/>
  <c r="B343" i="60"/>
  <c r="H19" i="60"/>
  <c r="P19" i="60" s="1"/>
  <c r="P324" i="60" s="1"/>
  <c r="N19" i="60"/>
  <c r="N324" i="60" s="1"/>
  <c r="H22" i="60"/>
  <c r="L350" i="60"/>
  <c r="D45" i="60"/>
  <c r="F350" i="60" s="1"/>
  <c r="E350" i="60"/>
  <c r="H350" i="60"/>
  <c r="J45" i="60"/>
  <c r="P49" i="60"/>
  <c r="P48" i="60"/>
  <c r="P352" i="60" s="1"/>
  <c r="N51" i="60"/>
  <c r="N355" i="60" s="1"/>
  <c r="L51" i="60"/>
  <c r="L355" i="60" s="1"/>
  <c r="J51" i="60"/>
  <c r="H51" i="60"/>
  <c r="H355" i="60" s="1"/>
  <c r="F51" i="60"/>
  <c r="F355" i="60" s="1"/>
  <c r="D51" i="60"/>
  <c r="D355" i="60" s="1"/>
  <c r="H41" i="60"/>
  <c r="P41" i="60" s="1"/>
  <c r="P346" i="60" s="1"/>
  <c r="H39" i="60"/>
  <c r="H344" i="60" s="1"/>
  <c r="H31" i="60"/>
  <c r="H336" i="60" s="1"/>
  <c r="H30" i="60"/>
  <c r="P30" i="60" s="1"/>
  <c r="P335" i="60" s="1"/>
  <c r="H29" i="60"/>
  <c r="H334" i="60" s="1"/>
  <c r="H28" i="60"/>
  <c r="H27" i="60"/>
  <c r="P27" i="60" s="1"/>
  <c r="P332" i="60" s="1"/>
  <c r="H26" i="60"/>
  <c r="H331" i="60" s="1"/>
  <c r="H25" i="60"/>
  <c r="H330" i="60" s="1"/>
  <c r="H24" i="60"/>
  <c r="H329" i="60" s="1"/>
  <c r="H21" i="60"/>
  <c r="P21" i="60" s="1"/>
  <c r="P326" i="60" s="1"/>
  <c r="H20" i="60"/>
  <c r="P20" i="60" s="1"/>
  <c r="P325" i="60" s="1"/>
  <c r="H18" i="60"/>
  <c r="P18" i="60" s="1"/>
  <c r="P323" i="60" s="1"/>
  <c r="H17" i="60"/>
  <c r="H322" i="60" s="1"/>
  <c r="H16" i="60"/>
  <c r="P16" i="60" s="1"/>
  <c r="P321" i="60" s="1"/>
  <c r="H15" i="60"/>
  <c r="H12" i="60"/>
  <c r="H317" i="60" s="1"/>
  <c r="H11" i="60"/>
  <c r="P11" i="60" s="1"/>
  <c r="P316" i="60" s="1"/>
  <c r="H10" i="60"/>
  <c r="H315" i="60" s="1"/>
  <c r="C360" i="60"/>
  <c r="Q358" i="60"/>
  <c r="P358" i="60"/>
  <c r="O358" i="60"/>
  <c r="N358" i="60"/>
  <c r="M358" i="60"/>
  <c r="L358" i="60"/>
  <c r="K358" i="60"/>
  <c r="J358" i="60"/>
  <c r="I358" i="60"/>
  <c r="H358" i="60"/>
  <c r="F358" i="60"/>
  <c r="E358" i="60"/>
  <c r="D358" i="60"/>
  <c r="C358" i="60"/>
  <c r="B358" i="60"/>
  <c r="Q357" i="60"/>
  <c r="P357" i="60"/>
  <c r="O357" i="60"/>
  <c r="N357" i="60"/>
  <c r="M357" i="60"/>
  <c r="L357" i="60"/>
  <c r="K357" i="60"/>
  <c r="J357" i="60"/>
  <c r="I357" i="60"/>
  <c r="H357" i="60"/>
  <c r="F357" i="60"/>
  <c r="E357" i="60"/>
  <c r="D357" i="60"/>
  <c r="C357" i="60"/>
  <c r="B357" i="60"/>
  <c r="Q356" i="60"/>
  <c r="P356" i="60"/>
  <c r="O356" i="60"/>
  <c r="N356" i="60"/>
  <c r="M356" i="60"/>
  <c r="L356" i="60"/>
  <c r="K356" i="60"/>
  <c r="J356" i="60"/>
  <c r="I356" i="60"/>
  <c r="H356" i="60"/>
  <c r="F356" i="60"/>
  <c r="E356" i="60"/>
  <c r="D356" i="60"/>
  <c r="C356" i="60"/>
  <c r="B356" i="60"/>
  <c r="Q355" i="60"/>
  <c r="P10" i="60"/>
  <c r="P315" i="60" s="1"/>
  <c r="P15" i="60"/>
  <c r="P320" i="60" s="1"/>
  <c r="O355" i="60"/>
  <c r="N10" i="60"/>
  <c r="N315" i="60" s="1"/>
  <c r="N11" i="60"/>
  <c r="N316" i="60" s="1"/>
  <c r="N12" i="60"/>
  <c r="N317" i="60" s="1"/>
  <c r="N15" i="60"/>
  <c r="N16" i="60"/>
  <c r="N17" i="60"/>
  <c r="N18" i="60"/>
  <c r="N20" i="60"/>
  <c r="N21" i="60"/>
  <c r="N24" i="60"/>
  <c r="N25" i="60"/>
  <c r="N330" i="60" s="1"/>
  <c r="N26" i="60"/>
  <c r="N331" i="60" s="1"/>
  <c r="N27" i="60"/>
  <c r="N332" i="60" s="1"/>
  <c r="N28" i="60"/>
  <c r="N29" i="60"/>
  <c r="N334" i="60" s="1"/>
  <c r="N30" i="60"/>
  <c r="N335" i="60" s="1"/>
  <c r="N41" i="60"/>
  <c r="N346" i="60" s="1"/>
  <c r="M355" i="60"/>
  <c r="K355" i="60"/>
  <c r="J355" i="60"/>
  <c r="I355" i="60"/>
  <c r="E355" i="60"/>
  <c r="C355" i="60"/>
  <c r="B355" i="60"/>
  <c r="Q354" i="60"/>
  <c r="P354" i="60"/>
  <c r="O354" i="60"/>
  <c r="N354" i="60"/>
  <c r="M354" i="60"/>
  <c r="L354" i="60"/>
  <c r="K354" i="60"/>
  <c r="J354" i="60"/>
  <c r="I354" i="60"/>
  <c r="H354" i="60"/>
  <c r="F354" i="60"/>
  <c r="E354" i="60"/>
  <c r="D354" i="60"/>
  <c r="C354" i="60"/>
  <c r="B354" i="60"/>
  <c r="Q353" i="60"/>
  <c r="P353" i="60"/>
  <c r="O353" i="60"/>
  <c r="N353" i="60"/>
  <c r="M353" i="60"/>
  <c r="L353" i="60"/>
  <c r="K353" i="60"/>
  <c r="J353" i="60"/>
  <c r="I353" i="60"/>
  <c r="H353" i="60"/>
  <c r="F353" i="60"/>
  <c r="E353" i="60"/>
  <c r="D353" i="60"/>
  <c r="C353" i="60"/>
  <c r="B353" i="60"/>
  <c r="Q352" i="60"/>
  <c r="O352" i="60"/>
  <c r="N352" i="60"/>
  <c r="M352" i="60"/>
  <c r="L352" i="60"/>
  <c r="K352" i="60"/>
  <c r="J352" i="60"/>
  <c r="I352" i="60"/>
  <c r="H352" i="60"/>
  <c r="F352" i="60"/>
  <c r="E352" i="60"/>
  <c r="D352" i="60"/>
  <c r="C352" i="60"/>
  <c r="B352" i="60"/>
  <c r="Q351" i="60"/>
  <c r="P351" i="60"/>
  <c r="O351" i="60"/>
  <c r="N351" i="60"/>
  <c r="M351" i="60"/>
  <c r="L351" i="60"/>
  <c r="K351" i="60"/>
  <c r="J351" i="60"/>
  <c r="I351" i="60"/>
  <c r="H351" i="60"/>
  <c r="F351" i="60"/>
  <c r="E351" i="60"/>
  <c r="D351" i="60"/>
  <c r="C351" i="60"/>
  <c r="B351" i="60"/>
  <c r="Q350" i="60"/>
  <c r="P350" i="60"/>
  <c r="O350" i="60"/>
  <c r="N350" i="60"/>
  <c r="M350" i="60"/>
  <c r="K350" i="60"/>
  <c r="I350" i="60"/>
  <c r="C350" i="60"/>
  <c r="B350" i="60"/>
  <c r="P349" i="60"/>
  <c r="O349" i="60"/>
  <c r="N349" i="60"/>
  <c r="M349" i="60"/>
  <c r="L349" i="60"/>
  <c r="K349" i="60"/>
  <c r="J349" i="60"/>
  <c r="I349" i="60"/>
  <c r="H349" i="60"/>
  <c r="F349" i="60"/>
  <c r="E349" i="60"/>
  <c r="D349" i="60"/>
  <c r="C349" i="60"/>
  <c r="B349" i="60"/>
  <c r="Q348" i="60"/>
  <c r="O348" i="60"/>
  <c r="M348" i="60"/>
  <c r="K348" i="60"/>
  <c r="I348" i="60"/>
  <c r="E348" i="60"/>
  <c r="C348" i="60"/>
  <c r="B348" i="60"/>
  <c r="Q347" i="60"/>
  <c r="P347" i="60"/>
  <c r="O347" i="60"/>
  <c r="N347" i="60"/>
  <c r="M347" i="60"/>
  <c r="L347" i="60"/>
  <c r="K347" i="60"/>
  <c r="J347" i="60"/>
  <c r="I347" i="60"/>
  <c r="H347" i="60"/>
  <c r="F347" i="60"/>
  <c r="E347" i="60"/>
  <c r="D347" i="60"/>
  <c r="C347" i="60"/>
  <c r="B347" i="60"/>
  <c r="Q346" i="60"/>
  <c r="O346" i="60"/>
  <c r="M346" i="60"/>
  <c r="L346" i="60"/>
  <c r="K346" i="60"/>
  <c r="J346" i="60"/>
  <c r="I346" i="60"/>
  <c r="H346" i="60"/>
  <c r="F346" i="60"/>
  <c r="E346" i="60"/>
  <c r="D346" i="60"/>
  <c r="C346" i="60"/>
  <c r="B346" i="60"/>
  <c r="Q345" i="60"/>
  <c r="P345" i="60"/>
  <c r="O345" i="60"/>
  <c r="N345" i="60"/>
  <c r="M345" i="60"/>
  <c r="L345" i="60"/>
  <c r="K345" i="60"/>
  <c r="J345" i="60"/>
  <c r="I345" i="60"/>
  <c r="H345" i="60"/>
  <c r="F345" i="60"/>
  <c r="E345" i="60"/>
  <c r="D345" i="60"/>
  <c r="C345" i="60"/>
  <c r="B345" i="60"/>
  <c r="Q344" i="60"/>
  <c r="O344" i="60"/>
  <c r="M344" i="60"/>
  <c r="L344" i="60"/>
  <c r="K344" i="60"/>
  <c r="J344" i="60"/>
  <c r="I344" i="60"/>
  <c r="F344" i="60"/>
  <c r="E344" i="60"/>
  <c r="D344" i="60"/>
  <c r="C344" i="60"/>
  <c r="B344" i="60"/>
  <c r="Q342" i="60"/>
  <c r="O342" i="60"/>
  <c r="N342" i="60"/>
  <c r="M342" i="60"/>
  <c r="L342" i="60"/>
  <c r="K342" i="60"/>
  <c r="J342" i="60"/>
  <c r="I342" i="60"/>
  <c r="F342" i="60"/>
  <c r="E342" i="60"/>
  <c r="D342" i="60"/>
  <c r="C342" i="60"/>
  <c r="B342" i="60"/>
  <c r="Q341" i="60"/>
  <c r="O341" i="60"/>
  <c r="M341" i="60"/>
  <c r="L341" i="60"/>
  <c r="K341" i="60"/>
  <c r="J341" i="60"/>
  <c r="I341" i="60"/>
  <c r="F341" i="60"/>
  <c r="E341" i="60"/>
  <c r="D341" i="60"/>
  <c r="C341" i="60"/>
  <c r="B341" i="60"/>
  <c r="O340" i="60"/>
  <c r="M340" i="60"/>
  <c r="L340" i="60"/>
  <c r="K340" i="60"/>
  <c r="J340" i="60"/>
  <c r="I340" i="60"/>
  <c r="F340" i="60"/>
  <c r="E340" i="60"/>
  <c r="D340" i="60"/>
  <c r="C340" i="60"/>
  <c r="B340" i="60"/>
  <c r="Q339" i="60"/>
  <c r="O339" i="60"/>
  <c r="M339" i="60"/>
  <c r="L339" i="60"/>
  <c r="K339" i="60"/>
  <c r="J339" i="60"/>
  <c r="I339" i="60"/>
  <c r="H339" i="60"/>
  <c r="F339" i="60"/>
  <c r="E339" i="60"/>
  <c r="D339" i="60"/>
  <c r="C339" i="60"/>
  <c r="B339" i="60"/>
  <c r="Q338" i="60"/>
  <c r="O338" i="60"/>
  <c r="N338" i="60"/>
  <c r="M338" i="60"/>
  <c r="L338" i="60"/>
  <c r="K338" i="60"/>
  <c r="J338" i="60"/>
  <c r="I338" i="60"/>
  <c r="F338" i="60"/>
  <c r="E338" i="60"/>
  <c r="D338" i="60"/>
  <c r="C338" i="60"/>
  <c r="B338" i="60"/>
  <c r="Q337" i="60"/>
  <c r="P337" i="60"/>
  <c r="O337" i="60"/>
  <c r="N337" i="60"/>
  <c r="M337" i="60"/>
  <c r="L337" i="60"/>
  <c r="K337" i="60"/>
  <c r="J337" i="60"/>
  <c r="I337" i="60"/>
  <c r="H337" i="60"/>
  <c r="F337" i="60"/>
  <c r="E337" i="60"/>
  <c r="D337" i="60"/>
  <c r="C337" i="60"/>
  <c r="B337" i="60"/>
  <c r="Q336" i="60"/>
  <c r="O336" i="60"/>
  <c r="M336" i="60"/>
  <c r="K336" i="60"/>
  <c r="J336" i="60"/>
  <c r="I336" i="60"/>
  <c r="F336" i="60"/>
  <c r="E336" i="60"/>
  <c r="D336" i="60"/>
  <c r="C336" i="60"/>
  <c r="B336" i="60"/>
  <c r="Q335" i="60"/>
  <c r="O335" i="60"/>
  <c r="M335" i="60"/>
  <c r="L335" i="60"/>
  <c r="K335" i="60"/>
  <c r="J335" i="60"/>
  <c r="I335" i="60"/>
  <c r="F335" i="60"/>
  <c r="E335" i="60"/>
  <c r="D335" i="60"/>
  <c r="C335" i="60"/>
  <c r="B335" i="60"/>
  <c r="Q334" i="60"/>
  <c r="O334" i="60"/>
  <c r="M334" i="60"/>
  <c r="L334" i="60"/>
  <c r="K334" i="60"/>
  <c r="J334" i="60"/>
  <c r="I334" i="60"/>
  <c r="F334" i="60"/>
  <c r="E334" i="60"/>
  <c r="D334" i="60"/>
  <c r="C334" i="60"/>
  <c r="B334" i="60"/>
  <c r="Q333" i="60"/>
  <c r="O333" i="60"/>
  <c r="N333" i="60"/>
  <c r="M333" i="60"/>
  <c r="L333" i="60"/>
  <c r="K333" i="60"/>
  <c r="J333" i="60"/>
  <c r="I333" i="60"/>
  <c r="F333" i="60"/>
  <c r="E333" i="60"/>
  <c r="D333" i="60"/>
  <c r="C333" i="60"/>
  <c r="B333" i="60"/>
  <c r="Q332" i="60"/>
  <c r="O332" i="60"/>
  <c r="M332" i="60"/>
  <c r="L332" i="60"/>
  <c r="K332" i="60"/>
  <c r="J332" i="60"/>
  <c r="I332" i="60"/>
  <c r="F332" i="60"/>
  <c r="E332" i="60"/>
  <c r="D332" i="60"/>
  <c r="C332" i="60"/>
  <c r="B332" i="60"/>
  <c r="Q331" i="60"/>
  <c r="O331" i="60"/>
  <c r="M331" i="60"/>
  <c r="L331" i="60"/>
  <c r="K331" i="60"/>
  <c r="J331" i="60"/>
  <c r="I331" i="60"/>
  <c r="F331" i="60"/>
  <c r="E331" i="60"/>
  <c r="D331" i="60"/>
  <c r="C331" i="60"/>
  <c r="B331" i="60"/>
  <c r="Q330" i="60"/>
  <c r="O330" i="60"/>
  <c r="M330" i="60"/>
  <c r="L330" i="60"/>
  <c r="K330" i="60"/>
  <c r="J330" i="60"/>
  <c r="I330" i="60"/>
  <c r="F330" i="60"/>
  <c r="E330" i="60"/>
  <c r="D330" i="60"/>
  <c r="C330" i="60"/>
  <c r="B330" i="60"/>
  <c r="Q329" i="60"/>
  <c r="O329" i="60"/>
  <c r="N329" i="60"/>
  <c r="M329" i="60"/>
  <c r="L329" i="60"/>
  <c r="K329" i="60"/>
  <c r="J329" i="60"/>
  <c r="I329" i="60"/>
  <c r="F329" i="60"/>
  <c r="E329" i="60"/>
  <c r="D329" i="60"/>
  <c r="C329" i="60"/>
  <c r="B329" i="60"/>
  <c r="Q328" i="60"/>
  <c r="P328" i="60"/>
  <c r="O328" i="60"/>
  <c r="N328" i="60"/>
  <c r="M328" i="60"/>
  <c r="L328" i="60"/>
  <c r="K328" i="60"/>
  <c r="J328" i="60"/>
  <c r="I328" i="60"/>
  <c r="H328" i="60"/>
  <c r="F328" i="60"/>
  <c r="E328" i="60"/>
  <c r="D328" i="60"/>
  <c r="C328" i="60"/>
  <c r="B328" i="60"/>
  <c r="Q327" i="60"/>
  <c r="O327" i="60"/>
  <c r="M327" i="60"/>
  <c r="K327" i="60"/>
  <c r="J327" i="60"/>
  <c r="I327" i="60"/>
  <c r="H327" i="60"/>
  <c r="F327" i="60"/>
  <c r="E327" i="60"/>
  <c r="D327" i="60"/>
  <c r="C327" i="60"/>
  <c r="B327" i="60"/>
  <c r="Q326" i="60"/>
  <c r="O326" i="60"/>
  <c r="N326" i="60"/>
  <c r="M326" i="60"/>
  <c r="L326" i="60"/>
  <c r="K326" i="60"/>
  <c r="J326" i="60"/>
  <c r="I326" i="60"/>
  <c r="F326" i="60"/>
  <c r="E326" i="60"/>
  <c r="D326" i="60"/>
  <c r="C326" i="60"/>
  <c r="B326" i="60"/>
  <c r="Q325" i="60"/>
  <c r="O325" i="60"/>
  <c r="N325" i="60"/>
  <c r="M325" i="60"/>
  <c r="L325" i="60"/>
  <c r="K325" i="60"/>
  <c r="J325" i="60"/>
  <c r="I325" i="60"/>
  <c r="H325" i="60"/>
  <c r="F325" i="60"/>
  <c r="E325" i="60"/>
  <c r="D325" i="60"/>
  <c r="C325" i="60"/>
  <c r="B325" i="60"/>
  <c r="O324" i="60"/>
  <c r="M324" i="60"/>
  <c r="L324" i="60"/>
  <c r="K324" i="60"/>
  <c r="J324" i="60"/>
  <c r="I324" i="60"/>
  <c r="H324" i="60"/>
  <c r="F324" i="60"/>
  <c r="E324" i="60"/>
  <c r="D324" i="60"/>
  <c r="C324" i="60"/>
  <c r="B324" i="60"/>
  <c r="Q323" i="60"/>
  <c r="O323" i="60"/>
  <c r="N323" i="60"/>
  <c r="M323" i="60"/>
  <c r="L323" i="60"/>
  <c r="K323" i="60"/>
  <c r="J323" i="60"/>
  <c r="I323" i="60"/>
  <c r="F323" i="60"/>
  <c r="E323" i="60"/>
  <c r="D323" i="60"/>
  <c r="C323" i="60"/>
  <c r="B323" i="60"/>
  <c r="Q322" i="60"/>
  <c r="O322" i="60"/>
  <c r="N322" i="60"/>
  <c r="M322" i="60"/>
  <c r="L322" i="60"/>
  <c r="K322" i="60"/>
  <c r="J322" i="60"/>
  <c r="I322" i="60"/>
  <c r="F322" i="60"/>
  <c r="E322" i="60"/>
  <c r="D322" i="60"/>
  <c r="C322" i="60"/>
  <c r="B322" i="60"/>
  <c r="Q321" i="60"/>
  <c r="O321" i="60"/>
  <c r="N321" i="60"/>
  <c r="M321" i="60"/>
  <c r="L321" i="60"/>
  <c r="K321" i="60"/>
  <c r="J321" i="60"/>
  <c r="I321" i="60"/>
  <c r="F321" i="60"/>
  <c r="E321" i="60"/>
  <c r="D321" i="60"/>
  <c r="C321" i="60"/>
  <c r="B321" i="60"/>
  <c r="Q320" i="60"/>
  <c r="O320" i="60"/>
  <c r="M320" i="60"/>
  <c r="L320" i="60"/>
  <c r="K320" i="60"/>
  <c r="J320" i="60"/>
  <c r="I320" i="60"/>
  <c r="H320" i="60"/>
  <c r="F320" i="60"/>
  <c r="E320" i="60"/>
  <c r="D320" i="60"/>
  <c r="C320" i="60"/>
  <c r="B320" i="60"/>
  <c r="Q319" i="60"/>
  <c r="P319" i="60"/>
  <c r="O319" i="60"/>
  <c r="N319" i="60"/>
  <c r="M319" i="60"/>
  <c r="L319" i="60"/>
  <c r="K319" i="60"/>
  <c r="J319" i="60"/>
  <c r="I319" i="60"/>
  <c r="H319" i="60"/>
  <c r="F319" i="60"/>
  <c r="E319" i="60"/>
  <c r="D319" i="60"/>
  <c r="C319" i="60"/>
  <c r="B319" i="60"/>
  <c r="O318" i="60"/>
  <c r="M318" i="60"/>
  <c r="L318" i="60"/>
  <c r="K318" i="60"/>
  <c r="J318" i="60"/>
  <c r="I318" i="60"/>
  <c r="F318" i="60"/>
  <c r="E318" i="60"/>
  <c r="D318" i="60"/>
  <c r="C318" i="60"/>
  <c r="B318" i="60"/>
  <c r="Q317" i="60"/>
  <c r="O317" i="60"/>
  <c r="M317" i="60"/>
  <c r="L317" i="60"/>
  <c r="K317" i="60"/>
  <c r="J317" i="60"/>
  <c r="I317" i="60"/>
  <c r="F317" i="60"/>
  <c r="E317" i="60"/>
  <c r="D317" i="60"/>
  <c r="C317" i="60"/>
  <c r="B317" i="60"/>
  <c r="Q316" i="60"/>
  <c r="O316" i="60"/>
  <c r="M316" i="60"/>
  <c r="L316" i="60"/>
  <c r="K316" i="60"/>
  <c r="J316" i="60"/>
  <c r="I316" i="60"/>
  <c r="F316" i="60"/>
  <c r="E316" i="60"/>
  <c r="D316" i="60"/>
  <c r="C316" i="60"/>
  <c r="B316" i="60"/>
  <c r="Q315" i="60"/>
  <c r="O315" i="60"/>
  <c r="M315" i="60"/>
  <c r="L315" i="60"/>
  <c r="K315" i="60"/>
  <c r="J315" i="60"/>
  <c r="I315" i="60"/>
  <c r="F315" i="60"/>
  <c r="E315" i="60"/>
  <c r="D315" i="60"/>
  <c r="C315" i="60"/>
  <c r="B315" i="60"/>
  <c r="Q314" i="60"/>
  <c r="P314" i="60"/>
  <c r="O314" i="60"/>
  <c r="N314" i="60"/>
  <c r="M314" i="60"/>
  <c r="L314" i="60"/>
  <c r="K314" i="60"/>
  <c r="J314" i="60"/>
  <c r="I314" i="60"/>
  <c r="H314" i="60"/>
  <c r="F314" i="60"/>
  <c r="E314" i="60"/>
  <c r="D314" i="60"/>
  <c r="C314" i="60"/>
  <c r="B314" i="60"/>
  <c r="Q313" i="60"/>
  <c r="P313" i="60"/>
  <c r="O313" i="60"/>
  <c r="N313" i="60"/>
  <c r="M313" i="60"/>
  <c r="L313" i="60"/>
  <c r="K313" i="60"/>
  <c r="J313" i="60"/>
  <c r="I313" i="60"/>
  <c r="H313" i="60"/>
  <c r="F313" i="60"/>
  <c r="E313" i="60"/>
  <c r="D313" i="60"/>
  <c r="C313" i="60"/>
  <c r="B313" i="60"/>
  <c r="Q312" i="60"/>
  <c r="P312" i="60"/>
  <c r="O312" i="60"/>
  <c r="N312" i="60"/>
  <c r="M312" i="60"/>
  <c r="L312" i="60"/>
  <c r="K312" i="60"/>
  <c r="J312" i="60"/>
  <c r="I312" i="60"/>
  <c r="H312" i="60"/>
  <c r="F312" i="60"/>
  <c r="E312" i="60"/>
  <c r="D312" i="60"/>
  <c r="C312" i="60"/>
  <c r="B312" i="60"/>
  <c r="Q311" i="60"/>
  <c r="P311" i="60"/>
  <c r="O311" i="60"/>
  <c r="N311" i="60"/>
  <c r="M311" i="60"/>
  <c r="L311" i="60"/>
  <c r="K311" i="60"/>
  <c r="J6" i="60"/>
  <c r="J311" i="60" s="1"/>
  <c r="I311" i="60"/>
  <c r="H311" i="60"/>
  <c r="F311" i="60"/>
  <c r="E311" i="60"/>
  <c r="D6" i="60"/>
  <c r="D311" i="60" s="1"/>
  <c r="C311" i="60"/>
  <c r="B311" i="60"/>
  <c r="D3" i="60"/>
  <c r="B307" i="60" s="1"/>
  <c r="B306" i="60"/>
  <c r="D1" i="60"/>
  <c r="B305" i="60" s="1"/>
  <c r="G372" i="56"/>
  <c r="F372" i="56"/>
  <c r="E372" i="56"/>
  <c r="D372" i="56"/>
  <c r="C372" i="56"/>
  <c r="B372" i="56"/>
  <c r="B364" i="56"/>
  <c r="G362" i="56"/>
  <c r="F362" i="56"/>
  <c r="E362" i="56"/>
  <c r="C362" i="56"/>
  <c r="B362" i="56"/>
  <c r="G361" i="56"/>
  <c r="F361" i="56"/>
  <c r="E361" i="56"/>
  <c r="D361" i="56"/>
  <c r="B361" i="56"/>
  <c r="G360" i="56"/>
  <c r="F360" i="56"/>
  <c r="E360" i="56"/>
  <c r="D360" i="56"/>
  <c r="B360" i="56"/>
  <c r="G359" i="56"/>
  <c r="F359" i="56"/>
  <c r="E359" i="56"/>
  <c r="D359" i="56"/>
  <c r="B359" i="56"/>
  <c r="G358" i="56"/>
  <c r="E358" i="56"/>
  <c r="B358" i="56"/>
  <c r="G357" i="56"/>
  <c r="F357" i="56"/>
  <c r="E357" i="56"/>
  <c r="D357" i="56"/>
  <c r="B357" i="56"/>
  <c r="G356" i="56"/>
  <c r="F356" i="56"/>
  <c r="E356" i="56"/>
  <c r="D356" i="56"/>
  <c r="B356" i="56"/>
  <c r="G355" i="56"/>
  <c r="F355" i="56"/>
  <c r="E355" i="56"/>
  <c r="D355" i="56"/>
  <c r="B355" i="56"/>
  <c r="G354" i="56"/>
  <c r="F354" i="56"/>
  <c r="E354" i="56"/>
  <c r="B354" i="56"/>
  <c r="G353" i="56"/>
  <c r="F353" i="56"/>
  <c r="E353" i="56"/>
  <c r="B353" i="56"/>
  <c r="G352" i="56"/>
  <c r="F352" i="56"/>
  <c r="E352" i="56"/>
  <c r="B352" i="56"/>
  <c r="G351" i="56"/>
  <c r="F351" i="56"/>
  <c r="E351" i="56"/>
  <c r="D351" i="56"/>
  <c r="B351" i="56"/>
  <c r="G350" i="56"/>
  <c r="F350" i="56"/>
  <c r="E350" i="56"/>
  <c r="D350" i="56"/>
  <c r="B350" i="56"/>
  <c r="G349" i="56"/>
  <c r="F46" i="56"/>
  <c r="F349" i="56" s="1"/>
  <c r="E349" i="56"/>
  <c r="D349" i="56"/>
  <c r="B349" i="56"/>
  <c r="G348" i="56"/>
  <c r="F348" i="56"/>
  <c r="E348" i="56"/>
  <c r="D348" i="56"/>
  <c r="B348" i="56"/>
  <c r="G347" i="56"/>
  <c r="F347" i="56"/>
  <c r="E347" i="56"/>
  <c r="D347" i="56"/>
  <c r="B347" i="56"/>
  <c r="G346" i="56"/>
  <c r="F346" i="56"/>
  <c r="E346" i="56"/>
  <c r="D346" i="56"/>
  <c r="B346" i="56"/>
  <c r="G345" i="56"/>
  <c r="F345" i="56"/>
  <c r="E345" i="56"/>
  <c r="D345" i="56"/>
  <c r="B345" i="56"/>
  <c r="G344" i="56"/>
  <c r="E344" i="56"/>
  <c r="B344" i="56"/>
  <c r="G343" i="56"/>
  <c r="F343" i="56"/>
  <c r="E343" i="56"/>
  <c r="D343" i="56"/>
  <c r="B343" i="56"/>
  <c r="G342" i="56"/>
  <c r="E342" i="56"/>
  <c r="D342" i="56"/>
  <c r="B342" i="56"/>
  <c r="F341" i="56"/>
  <c r="E341" i="56"/>
  <c r="D341" i="56"/>
  <c r="B341" i="56"/>
  <c r="G340" i="56"/>
  <c r="F340" i="56"/>
  <c r="E340" i="56"/>
  <c r="D340" i="56"/>
  <c r="B340" i="56"/>
  <c r="G339" i="56"/>
  <c r="F339" i="56"/>
  <c r="E339" i="56"/>
  <c r="D339" i="56"/>
  <c r="B339" i="56"/>
  <c r="G338" i="56"/>
  <c r="F338" i="56"/>
  <c r="E338" i="56"/>
  <c r="D338" i="56"/>
  <c r="B338" i="56"/>
  <c r="G337" i="56"/>
  <c r="F337" i="56"/>
  <c r="E337" i="56"/>
  <c r="D337" i="56"/>
  <c r="B337" i="56"/>
  <c r="G336" i="56"/>
  <c r="F336" i="56"/>
  <c r="E336" i="56"/>
  <c r="D336" i="56"/>
  <c r="B336" i="56"/>
  <c r="G335" i="56"/>
  <c r="F335" i="56"/>
  <c r="E335" i="56"/>
  <c r="D335" i="56"/>
  <c r="B335" i="56"/>
  <c r="G334" i="56"/>
  <c r="F334" i="56"/>
  <c r="E334" i="56"/>
  <c r="D334" i="56"/>
  <c r="B334" i="56"/>
  <c r="G333" i="56"/>
  <c r="E333" i="56"/>
  <c r="D333" i="56"/>
  <c r="B333" i="56"/>
  <c r="F332" i="56"/>
  <c r="E332" i="56"/>
  <c r="D332" i="56"/>
  <c r="B332" i="56"/>
  <c r="F331" i="56"/>
  <c r="E331" i="56"/>
  <c r="D331" i="56"/>
  <c r="B331" i="56"/>
  <c r="F330" i="56"/>
  <c r="E330" i="56"/>
  <c r="D330" i="56"/>
  <c r="B330" i="56"/>
  <c r="G329" i="56"/>
  <c r="F329" i="56"/>
  <c r="E329" i="56"/>
  <c r="D329" i="56"/>
  <c r="B329" i="56"/>
  <c r="G328" i="56"/>
  <c r="F328" i="56"/>
  <c r="E328" i="56"/>
  <c r="D328" i="56"/>
  <c r="B328" i="56"/>
  <c r="G327" i="56"/>
  <c r="F327" i="56"/>
  <c r="E327" i="56"/>
  <c r="D327" i="56"/>
  <c r="B327" i="56"/>
  <c r="G325" i="56"/>
  <c r="E325" i="56"/>
  <c r="D325" i="56"/>
  <c r="B325" i="56"/>
  <c r="G324" i="56"/>
  <c r="F324" i="56"/>
  <c r="E324" i="56"/>
  <c r="D324" i="56"/>
  <c r="B324" i="56"/>
  <c r="G323" i="56"/>
  <c r="F323" i="56"/>
  <c r="E323" i="56"/>
  <c r="D323" i="56"/>
  <c r="B323" i="56"/>
  <c r="G322" i="56"/>
  <c r="F322" i="56"/>
  <c r="E322" i="56"/>
  <c r="D322" i="56"/>
  <c r="B322" i="56"/>
  <c r="G321" i="56"/>
  <c r="F321" i="56"/>
  <c r="E321" i="56"/>
  <c r="D321" i="56"/>
  <c r="B321" i="56"/>
  <c r="G320" i="56"/>
  <c r="F320" i="56"/>
  <c r="E320" i="56"/>
  <c r="D320" i="56"/>
  <c r="B320" i="56"/>
  <c r="G319" i="56"/>
  <c r="F319" i="56"/>
  <c r="E319" i="56"/>
  <c r="D319" i="56"/>
  <c r="B319" i="56"/>
  <c r="G318" i="56"/>
  <c r="F318" i="56"/>
  <c r="E318" i="56"/>
  <c r="D318" i="56"/>
  <c r="B318" i="56"/>
  <c r="G317" i="56"/>
  <c r="F317" i="56"/>
  <c r="E317" i="56"/>
  <c r="D317" i="56"/>
  <c r="B317" i="56"/>
  <c r="G316" i="56"/>
  <c r="F316" i="56"/>
  <c r="E316" i="56"/>
  <c r="D316" i="56"/>
  <c r="B316" i="56"/>
  <c r="G315" i="56"/>
  <c r="F315" i="56"/>
  <c r="E315" i="56"/>
  <c r="D315" i="56"/>
  <c r="B315" i="56"/>
  <c r="G314" i="56"/>
  <c r="F314" i="56"/>
  <c r="E314" i="56"/>
  <c r="D314" i="56"/>
  <c r="B314" i="56"/>
  <c r="G313" i="56"/>
  <c r="F313" i="56"/>
  <c r="E313" i="56"/>
  <c r="D313" i="56"/>
  <c r="B313" i="56"/>
  <c r="G312" i="56"/>
  <c r="F312" i="56"/>
  <c r="E312" i="56"/>
  <c r="D312" i="56"/>
  <c r="B312" i="56"/>
  <c r="G311" i="56"/>
  <c r="F311" i="56"/>
  <c r="E311" i="56"/>
  <c r="D311" i="56"/>
  <c r="B311" i="56"/>
  <c r="G310" i="56"/>
  <c r="F310" i="56"/>
  <c r="E310" i="56"/>
  <c r="D310" i="56"/>
  <c r="B310" i="56"/>
  <c r="G309" i="56"/>
  <c r="F309" i="56"/>
  <c r="E309" i="56"/>
  <c r="D309" i="56"/>
  <c r="B309" i="56"/>
  <c r="G308" i="56"/>
  <c r="F308" i="56"/>
  <c r="E308" i="56"/>
  <c r="D308" i="56"/>
  <c r="B308" i="56"/>
  <c r="C3" i="56"/>
  <c r="B305" i="56" s="1"/>
  <c r="B304" i="56"/>
  <c r="C1" i="56"/>
  <c r="B303" i="56" s="1"/>
  <c r="F4" i="54"/>
  <c r="D4" i="54"/>
  <c r="B372" i="54"/>
  <c r="L3" i="54"/>
  <c r="B370" i="54"/>
  <c r="B369" i="54"/>
  <c r="F7" i="54"/>
  <c r="F319" i="54" s="1"/>
  <c r="G402" i="54"/>
  <c r="F402" i="54"/>
  <c r="E402" i="54"/>
  <c r="D402" i="54"/>
  <c r="C402" i="54"/>
  <c r="B402" i="54"/>
  <c r="G401" i="54"/>
  <c r="F401" i="54"/>
  <c r="E401" i="54"/>
  <c r="D401" i="54"/>
  <c r="C401" i="54"/>
  <c r="B401" i="54"/>
  <c r="G400" i="54"/>
  <c r="F400" i="54"/>
  <c r="E400" i="54"/>
  <c r="D400" i="54"/>
  <c r="B400" i="54"/>
  <c r="F399" i="54"/>
  <c r="E399" i="54"/>
  <c r="D399" i="54"/>
  <c r="B399" i="54"/>
  <c r="G398" i="54"/>
  <c r="F398" i="54"/>
  <c r="E398" i="54"/>
  <c r="B398" i="54"/>
  <c r="G397" i="54"/>
  <c r="F397" i="54"/>
  <c r="E397" i="54"/>
  <c r="D397" i="54"/>
  <c r="B397" i="54"/>
  <c r="F396" i="54"/>
  <c r="E396" i="54"/>
  <c r="D396" i="54"/>
  <c r="B396" i="54"/>
  <c r="F395" i="54"/>
  <c r="E395" i="54"/>
  <c r="D395" i="54"/>
  <c r="B395" i="54"/>
  <c r="G394" i="54"/>
  <c r="F394" i="54"/>
  <c r="E394" i="54"/>
  <c r="D394" i="54"/>
  <c r="B394" i="54"/>
  <c r="G393" i="54"/>
  <c r="F393" i="54"/>
  <c r="E393" i="54"/>
  <c r="D393" i="54"/>
  <c r="B393" i="54"/>
  <c r="G392" i="54"/>
  <c r="F392" i="54"/>
  <c r="E392" i="54"/>
  <c r="D392" i="54"/>
  <c r="B392" i="54"/>
  <c r="G391" i="54"/>
  <c r="F391" i="54"/>
  <c r="E391" i="54"/>
  <c r="D391" i="54"/>
  <c r="B391" i="54"/>
  <c r="G390" i="54"/>
  <c r="F72" i="54"/>
  <c r="F390" i="54" s="1"/>
  <c r="E390" i="54"/>
  <c r="D72" i="54"/>
  <c r="D390" i="54" s="1"/>
  <c r="B390" i="54"/>
  <c r="G389" i="54"/>
  <c r="F389" i="54"/>
  <c r="E389" i="54"/>
  <c r="D389" i="54"/>
  <c r="B389" i="54"/>
  <c r="G388" i="54"/>
  <c r="F388" i="54"/>
  <c r="E388" i="54"/>
  <c r="D388" i="54"/>
  <c r="B388" i="54"/>
  <c r="G387" i="54"/>
  <c r="F387" i="54"/>
  <c r="E387" i="54"/>
  <c r="D387" i="54"/>
  <c r="B387" i="54"/>
  <c r="G386" i="54"/>
  <c r="F386" i="54"/>
  <c r="E386" i="54"/>
  <c r="D386" i="54"/>
  <c r="B386" i="54"/>
  <c r="G385" i="54"/>
  <c r="F385" i="54"/>
  <c r="E385" i="54"/>
  <c r="D385" i="54"/>
  <c r="B385" i="54"/>
  <c r="G384" i="54"/>
  <c r="F384" i="54"/>
  <c r="E384" i="54"/>
  <c r="D384" i="54"/>
  <c r="B384" i="54"/>
  <c r="G383" i="54"/>
  <c r="F383" i="54"/>
  <c r="E383" i="54"/>
  <c r="D383" i="54"/>
  <c r="B383" i="54"/>
  <c r="G382" i="54"/>
  <c r="F382" i="54"/>
  <c r="E382" i="54"/>
  <c r="D382" i="54"/>
  <c r="B382" i="54"/>
  <c r="G381" i="54"/>
  <c r="F381" i="54"/>
  <c r="E381" i="54"/>
  <c r="D381" i="54"/>
  <c r="B381" i="54"/>
  <c r="G380" i="54"/>
  <c r="F380" i="54"/>
  <c r="E380" i="54"/>
  <c r="D380" i="54"/>
  <c r="B380" i="54"/>
  <c r="G379" i="54"/>
  <c r="F379" i="54"/>
  <c r="E379" i="54"/>
  <c r="D379" i="54"/>
  <c r="B379" i="54"/>
  <c r="G378" i="54"/>
  <c r="F378" i="54"/>
  <c r="E378" i="54"/>
  <c r="D378" i="54"/>
  <c r="B378" i="54"/>
  <c r="G377" i="54"/>
  <c r="F377" i="54"/>
  <c r="E377" i="54"/>
  <c r="D377" i="54"/>
  <c r="B377" i="54"/>
  <c r="G376" i="54"/>
  <c r="F376" i="54"/>
  <c r="E376" i="54"/>
  <c r="D376" i="54"/>
  <c r="B376" i="54"/>
  <c r="G375" i="54"/>
  <c r="F375" i="54"/>
  <c r="E375" i="54"/>
  <c r="D375" i="54"/>
  <c r="B375" i="54"/>
  <c r="G373" i="54"/>
  <c r="F373" i="54"/>
  <c r="E373" i="54"/>
  <c r="D373" i="54"/>
  <c r="C373" i="54"/>
  <c r="G372" i="54"/>
  <c r="F372" i="54"/>
  <c r="E372" i="54"/>
  <c r="D372" i="54"/>
  <c r="C372" i="54"/>
  <c r="G371" i="54"/>
  <c r="F371" i="54"/>
  <c r="E371" i="54"/>
  <c r="D371" i="54"/>
  <c r="C371" i="54"/>
  <c r="C1" i="54"/>
  <c r="B371" i="54" s="1"/>
  <c r="G369" i="54"/>
  <c r="F369" i="54"/>
  <c r="E369" i="54"/>
  <c r="D369" i="54"/>
  <c r="G368" i="54"/>
  <c r="E368" i="54"/>
  <c r="B368" i="54"/>
  <c r="F367" i="54"/>
  <c r="E367" i="54"/>
  <c r="D367" i="54"/>
  <c r="B367" i="54"/>
  <c r="E366" i="54"/>
  <c r="E365" i="54"/>
  <c r="F364" i="54"/>
  <c r="E364" i="54"/>
  <c r="D364" i="54"/>
  <c r="F363" i="54"/>
  <c r="E363" i="54"/>
  <c r="D363" i="54"/>
  <c r="B363" i="54"/>
  <c r="F362" i="54"/>
  <c r="E362" i="54"/>
  <c r="D362" i="54"/>
  <c r="B362" i="54"/>
  <c r="G361" i="54"/>
  <c r="F361" i="54"/>
  <c r="E361" i="54"/>
  <c r="D361" i="54"/>
  <c r="B361" i="54"/>
  <c r="G360" i="54"/>
  <c r="F360" i="54"/>
  <c r="E360" i="54"/>
  <c r="D360" i="54"/>
  <c r="B360" i="54"/>
  <c r="G359" i="54"/>
  <c r="F359" i="54"/>
  <c r="E359" i="54"/>
  <c r="D359" i="54"/>
  <c r="B359" i="54"/>
  <c r="G358" i="54"/>
  <c r="F358" i="54"/>
  <c r="E358" i="54"/>
  <c r="D358" i="54"/>
  <c r="B358" i="54"/>
  <c r="G357" i="54"/>
  <c r="F357" i="54"/>
  <c r="E357" i="54"/>
  <c r="D357" i="54"/>
  <c r="B357" i="54"/>
  <c r="G356" i="54"/>
  <c r="F356" i="54"/>
  <c r="E356" i="54"/>
  <c r="D356" i="54"/>
  <c r="B356" i="54"/>
  <c r="G355" i="54"/>
  <c r="F355" i="54"/>
  <c r="E355" i="54"/>
  <c r="D355" i="54"/>
  <c r="B355" i="54"/>
  <c r="G354" i="54"/>
  <c r="F354" i="54"/>
  <c r="E354" i="54"/>
  <c r="D354" i="54"/>
  <c r="B354" i="54"/>
  <c r="G353" i="54"/>
  <c r="F353" i="54"/>
  <c r="E353" i="54"/>
  <c r="D353" i="54"/>
  <c r="B353" i="54"/>
  <c r="G352" i="54"/>
  <c r="F352" i="54"/>
  <c r="E352" i="54"/>
  <c r="D352" i="54"/>
  <c r="B352" i="54"/>
  <c r="G351" i="54"/>
  <c r="F351" i="54"/>
  <c r="E351" i="54"/>
  <c r="D351" i="54"/>
  <c r="B351" i="54"/>
  <c r="G350" i="54"/>
  <c r="F350" i="54"/>
  <c r="E350" i="54"/>
  <c r="D350" i="54"/>
  <c r="B350" i="54"/>
  <c r="G349" i="54"/>
  <c r="F349" i="54"/>
  <c r="E349" i="54"/>
  <c r="D349" i="54"/>
  <c r="B349" i="54"/>
  <c r="F348" i="54"/>
  <c r="E348" i="54"/>
  <c r="D348" i="54"/>
  <c r="B348" i="54"/>
  <c r="G347" i="54"/>
  <c r="F347" i="54"/>
  <c r="E347" i="54"/>
  <c r="D347" i="54"/>
  <c r="B347" i="54"/>
  <c r="G346" i="54"/>
  <c r="F346" i="54"/>
  <c r="E346" i="54"/>
  <c r="D346" i="54"/>
  <c r="B346" i="54"/>
  <c r="G345" i="54"/>
  <c r="F345" i="54"/>
  <c r="E345" i="54"/>
  <c r="D345" i="54"/>
  <c r="B345" i="54"/>
  <c r="G344" i="54"/>
  <c r="F344" i="54"/>
  <c r="E344" i="54"/>
  <c r="D344" i="54"/>
  <c r="B344" i="54"/>
  <c r="G342" i="54"/>
  <c r="E342" i="54"/>
  <c r="B342" i="54"/>
  <c r="F341" i="54"/>
  <c r="E341" i="54"/>
  <c r="D341" i="54"/>
  <c r="B341" i="54"/>
  <c r="E340" i="54"/>
  <c r="E339" i="54"/>
  <c r="E338" i="54"/>
  <c r="F337" i="54"/>
  <c r="E337" i="54"/>
  <c r="D337" i="54"/>
  <c r="G336" i="54"/>
  <c r="F336" i="54"/>
  <c r="E336" i="54"/>
  <c r="D336" i="54"/>
  <c r="B336" i="54"/>
  <c r="G335" i="54"/>
  <c r="F335" i="54"/>
  <c r="E335" i="54"/>
  <c r="D335" i="54"/>
  <c r="B335" i="54"/>
  <c r="G334" i="54"/>
  <c r="F334" i="54"/>
  <c r="E334" i="54"/>
  <c r="D334" i="54"/>
  <c r="B334" i="54"/>
  <c r="G333" i="54"/>
  <c r="F333" i="54"/>
  <c r="E333" i="54"/>
  <c r="D333" i="54"/>
  <c r="B333" i="54"/>
  <c r="G332" i="54"/>
  <c r="F332" i="54"/>
  <c r="E332" i="54"/>
  <c r="D332" i="54"/>
  <c r="B332" i="54"/>
  <c r="G331" i="54"/>
  <c r="F331" i="54"/>
  <c r="E331" i="54"/>
  <c r="D331" i="54"/>
  <c r="B331" i="54"/>
  <c r="G330" i="54"/>
  <c r="F330" i="54"/>
  <c r="E330" i="54"/>
  <c r="D330" i="54"/>
  <c r="B330" i="54"/>
  <c r="G329" i="54"/>
  <c r="F329" i="54"/>
  <c r="E329" i="54"/>
  <c r="D329" i="54"/>
  <c r="B329" i="54"/>
  <c r="G328" i="54"/>
  <c r="F328" i="54"/>
  <c r="E328" i="54"/>
  <c r="D328" i="54"/>
  <c r="B328" i="54"/>
  <c r="G327" i="54"/>
  <c r="F327" i="54"/>
  <c r="E327" i="54"/>
  <c r="B327" i="54"/>
  <c r="G326" i="54"/>
  <c r="F326" i="54"/>
  <c r="E326" i="54"/>
  <c r="D326" i="54"/>
  <c r="B326" i="54"/>
  <c r="G325" i="54"/>
  <c r="F325" i="54"/>
  <c r="E325" i="54"/>
  <c r="D325" i="54"/>
  <c r="B325" i="54"/>
  <c r="G324" i="54"/>
  <c r="E324" i="54"/>
  <c r="B324" i="54"/>
  <c r="G323" i="54"/>
  <c r="F323" i="54"/>
  <c r="E323" i="54"/>
  <c r="D323" i="54"/>
  <c r="B323" i="54"/>
  <c r="G322" i="54"/>
  <c r="F322" i="54"/>
  <c r="E322" i="54"/>
  <c r="D322" i="54"/>
  <c r="B322" i="54"/>
  <c r="G321" i="54"/>
  <c r="F321" i="54"/>
  <c r="E321" i="54"/>
  <c r="D321" i="54"/>
  <c r="B321" i="54"/>
  <c r="G320" i="54"/>
  <c r="F320" i="54"/>
  <c r="E320" i="54"/>
  <c r="D320" i="54"/>
  <c r="B320" i="54"/>
  <c r="G319" i="54"/>
  <c r="E319" i="54"/>
  <c r="C319" i="54"/>
  <c r="G315" i="54"/>
  <c r="F315" i="54"/>
  <c r="E315" i="54"/>
  <c r="D315" i="54"/>
  <c r="C315" i="54"/>
  <c r="G314" i="54"/>
  <c r="F314" i="54"/>
  <c r="E314" i="54"/>
  <c r="D314" i="54"/>
  <c r="C314" i="54"/>
  <c r="B314" i="54"/>
  <c r="G313" i="54"/>
  <c r="F313" i="54"/>
  <c r="E313" i="54"/>
  <c r="D313" i="54"/>
  <c r="C313" i="54"/>
  <c r="C373" i="55"/>
  <c r="O5" i="55"/>
  <c r="B375" i="55"/>
  <c r="C3" i="55"/>
  <c r="B316" i="55" s="1"/>
  <c r="G4" i="55"/>
  <c r="E37" i="55" s="1"/>
  <c r="L372" i="55"/>
  <c r="K372" i="55"/>
  <c r="J372" i="55"/>
  <c r="I372" i="55"/>
  <c r="H372" i="55"/>
  <c r="G372" i="55"/>
  <c r="F372" i="55"/>
  <c r="E372" i="55"/>
  <c r="D372" i="55"/>
  <c r="C372" i="55"/>
  <c r="B372" i="55"/>
  <c r="L371" i="55"/>
  <c r="J371" i="55"/>
  <c r="H371" i="55"/>
  <c r="F371" i="55"/>
  <c r="D371" i="55"/>
  <c r="B371" i="55"/>
  <c r="L370" i="55"/>
  <c r="K370" i="55"/>
  <c r="J370" i="55"/>
  <c r="I370" i="55"/>
  <c r="H370" i="55"/>
  <c r="G370" i="55"/>
  <c r="F370" i="55"/>
  <c r="E370" i="55"/>
  <c r="D370" i="55"/>
  <c r="C370" i="55"/>
  <c r="B370" i="55"/>
  <c r="L369" i="55"/>
  <c r="J369" i="55"/>
  <c r="H369" i="55"/>
  <c r="F369" i="55"/>
  <c r="D369" i="55"/>
  <c r="B369" i="55"/>
  <c r="J368" i="55"/>
  <c r="H368" i="55"/>
  <c r="G368" i="55"/>
  <c r="F368" i="55"/>
  <c r="D368" i="55"/>
  <c r="C368" i="55"/>
  <c r="B368" i="55"/>
  <c r="J367" i="55"/>
  <c r="H367" i="55"/>
  <c r="G367" i="55"/>
  <c r="F367" i="55"/>
  <c r="D367" i="55"/>
  <c r="C367" i="55"/>
  <c r="B367" i="55"/>
  <c r="K366" i="55"/>
  <c r="J366" i="55"/>
  <c r="I366" i="55"/>
  <c r="H366" i="55"/>
  <c r="G366" i="55"/>
  <c r="F366" i="55"/>
  <c r="E366" i="55"/>
  <c r="D366" i="55"/>
  <c r="C366" i="55"/>
  <c r="B366" i="55"/>
  <c r="J365" i="55"/>
  <c r="H365" i="55"/>
  <c r="F365" i="55"/>
  <c r="D365" i="55"/>
  <c r="B365" i="55"/>
  <c r="L364" i="55"/>
  <c r="J364" i="55"/>
  <c r="H364" i="55"/>
  <c r="G364" i="55"/>
  <c r="F364" i="55"/>
  <c r="D364" i="55"/>
  <c r="C364" i="55"/>
  <c r="B364" i="55"/>
  <c r="L363" i="55"/>
  <c r="J363" i="55"/>
  <c r="H363" i="55"/>
  <c r="G363" i="55"/>
  <c r="F363" i="55"/>
  <c r="D363" i="55"/>
  <c r="C363" i="55"/>
  <c r="B363" i="55"/>
  <c r="K362" i="55"/>
  <c r="J362" i="55"/>
  <c r="I362" i="55"/>
  <c r="H362" i="55"/>
  <c r="G362" i="55"/>
  <c r="F362" i="55"/>
  <c r="E362" i="55"/>
  <c r="D362" i="55"/>
  <c r="C362" i="55"/>
  <c r="B362" i="55"/>
  <c r="L361" i="55"/>
  <c r="E46" i="55"/>
  <c r="J361" i="55"/>
  <c r="H361" i="55"/>
  <c r="G361" i="55"/>
  <c r="F361" i="55"/>
  <c r="D361" i="55"/>
  <c r="C361" i="55"/>
  <c r="B361" i="55"/>
  <c r="L360" i="55"/>
  <c r="J360" i="55"/>
  <c r="H360" i="55"/>
  <c r="G360" i="55"/>
  <c r="F360" i="55"/>
  <c r="D360" i="55"/>
  <c r="C360" i="55"/>
  <c r="B360" i="55"/>
  <c r="L359" i="55"/>
  <c r="J359" i="55"/>
  <c r="H359" i="55"/>
  <c r="G359" i="55"/>
  <c r="F359" i="55"/>
  <c r="D359" i="55"/>
  <c r="C359" i="55"/>
  <c r="B359" i="55"/>
  <c r="J358" i="55"/>
  <c r="H358" i="55"/>
  <c r="F358" i="55"/>
  <c r="D358" i="55"/>
  <c r="B358" i="55"/>
  <c r="K357" i="55"/>
  <c r="J357" i="55"/>
  <c r="I357" i="55"/>
  <c r="H357" i="55"/>
  <c r="G357" i="55"/>
  <c r="F357" i="55"/>
  <c r="E357" i="55"/>
  <c r="D357" i="55"/>
  <c r="C357" i="55"/>
  <c r="B357" i="55"/>
  <c r="L356" i="55"/>
  <c r="J356" i="55"/>
  <c r="H356" i="55"/>
  <c r="G356" i="55"/>
  <c r="F356" i="55"/>
  <c r="D356" i="55"/>
  <c r="C356" i="55"/>
  <c r="B356" i="55"/>
  <c r="L355" i="55"/>
  <c r="J355" i="55"/>
  <c r="H355" i="55"/>
  <c r="G355" i="55"/>
  <c r="F355" i="55"/>
  <c r="D355" i="55"/>
  <c r="C355" i="55"/>
  <c r="B355" i="55"/>
  <c r="L354" i="55"/>
  <c r="J354" i="55"/>
  <c r="H354" i="55"/>
  <c r="G354" i="55"/>
  <c r="F354" i="55"/>
  <c r="D354" i="55"/>
  <c r="C354" i="55"/>
  <c r="B354" i="55"/>
  <c r="L353" i="55"/>
  <c r="J353" i="55"/>
  <c r="H353" i="55"/>
  <c r="F353" i="55"/>
  <c r="D353" i="55"/>
  <c r="C353" i="55"/>
  <c r="B353" i="55"/>
  <c r="L352" i="55"/>
  <c r="J352" i="55"/>
  <c r="H352" i="55"/>
  <c r="G352" i="55"/>
  <c r="F352" i="55"/>
  <c r="D352" i="55"/>
  <c r="C352" i="55"/>
  <c r="B352" i="55"/>
  <c r="L351" i="55"/>
  <c r="J351" i="55"/>
  <c r="H351" i="55"/>
  <c r="G351" i="55"/>
  <c r="F351" i="55"/>
  <c r="D351" i="55"/>
  <c r="C351" i="55"/>
  <c r="B351" i="55"/>
  <c r="L350" i="55"/>
  <c r="K350" i="55"/>
  <c r="J350" i="55"/>
  <c r="I350" i="55"/>
  <c r="H350" i="55"/>
  <c r="G350" i="55"/>
  <c r="F350" i="55"/>
  <c r="E350" i="55"/>
  <c r="D350" i="55"/>
  <c r="C350" i="55"/>
  <c r="B350" i="55"/>
  <c r="L349" i="55"/>
  <c r="J349" i="55"/>
  <c r="H349" i="55"/>
  <c r="G349" i="55"/>
  <c r="F349" i="55"/>
  <c r="D349" i="55"/>
  <c r="C349" i="55"/>
  <c r="B349" i="55"/>
  <c r="L348" i="55"/>
  <c r="J348" i="55"/>
  <c r="H348" i="55"/>
  <c r="G348" i="55"/>
  <c r="F348" i="55"/>
  <c r="D348" i="55"/>
  <c r="C348" i="55"/>
  <c r="B348" i="55"/>
  <c r="L347" i="55"/>
  <c r="J347" i="55"/>
  <c r="H347" i="55"/>
  <c r="G347" i="55"/>
  <c r="F347" i="55"/>
  <c r="D347" i="55"/>
  <c r="C347" i="55"/>
  <c r="B347" i="55"/>
  <c r="L346" i="55"/>
  <c r="J346" i="55"/>
  <c r="H346" i="55"/>
  <c r="G346" i="55"/>
  <c r="F346" i="55"/>
  <c r="D346" i="55"/>
  <c r="C346" i="55"/>
  <c r="B346" i="55"/>
  <c r="L344" i="55"/>
  <c r="K344" i="55"/>
  <c r="J344" i="55"/>
  <c r="I344" i="55"/>
  <c r="H344" i="55"/>
  <c r="G344" i="55"/>
  <c r="F344" i="55"/>
  <c r="E344" i="55"/>
  <c r="D344" i="55"/>
  <c r="C344" i="55"/>
  <c r="B344" i="55"/>
  <c r="L342" i="55"/>
  <c r="J342" i="55"/>
  <c r="H342" i="55"/>
  <c r="F342" i="55"/>
  <c r="D342" i="55"/>
  <c r="B342" i="55"/>
  <c r="J341" i="55"/>
  <c r="H341" i="55"/>
  <c r="G341" i="55"/>
  <c r="F341" i="55"/>
  <c r="D341" i="55"/>
  <c r="C341" i="55"/>
  <c r="B341" i="55"/>
  <c r="J340" i="55"/>
  <c r="H340" i="55"/>
  <c r="G340" i="55"/>
  <c r="F340" i="55"/>
  <c r="D340" i="55"/>
  <c r="C340" i="55"/>
  <c r="B340" i="55"/>
  <c r="J339" i="55"/>
  <c r="H339" i="55"/>
  <c r="G339" i="55"/>
  <c r="F339" i="55"/>
  <c r="D339" i="55"/>
  <c r="C339" i="55"/>
  <c r="B339" i="55"/>
  <c r="K338" i="55"/>
  <c r="J338" i="55"/>
  <c r="I338" i="55"/>
  <c r="H338" i="55"/>
  <c r="G338" i="55"/>
  <c r="F338" i="55"/>
  <c r="E338" i="55"/>
  <c r="D338" i="55"/>
  <c r="C338" i="55"/>
  <c r="B338" i="55"/>
  <c r="J337" i="55"/>
  <c r="H337" i="55"/>
  <c r="G337" i="55"/>
  <c r="F337" i="55"/>
  <c r="D337" i="55"/>
  <c r="B337" i="55"/>
  <c r="L336" i="55"/>
  <c r="E24" i="55"/>
  <c r="K24" i="55" s="1"/>
  <c r="K336" i="55" s="1"/>
  <c r="J336" i="55"/>
  <c r="H336" i="55"/>
  <c r="G336" i="55"/>
  <c r="F336" i="55"/>
  <c r="D336" i="55"/>
  <c r="C336" i="55"/>
  <c r="B336" i="55"/>
  <c r="E23" i="55"/>
  <c r="J335" i="55"/>
  <c r="H335" i="55"/>
  <c r="G335" i="55"/>
  <c r="F335" i="55"/>
  <c r="D335" i="55"/>
  <c r="C335" i="55"/>
  <c r="B335" i="55"/>
  <c r="L334" i="55"/>
  <c r="J334" i="55"/>
  <c r="H334" i="55"/>
  <c r="G334" i="55"/>
  <c r="F334" i="55"/>
  <c r="D334" i="55"/>
  <c r="C334" i="55"/>
  <c r="B334" i="55"/>
  <c r="L333" i="55"/>
  <c r="J333" i="55"/>
  <c r="H333" i="55"/>
  <c r="G333" i="55"/>
  <c r="F333" i="55"/>
  <c r="D333" i="55"/>
  <c r="C333" i="55"/>
  <c r="B333" i="55"/>
  <c r="L332" i="55"/>
  <c r="J332" i="55"/>
  <c r="H332" i="55"/>
  <c r="G332" i="55"/>
  <c r="F332" i="55"/>
  <c r="D332" i="55"/>
  <c r="C332" i="55"/>
  <c r="B332" i="55"/>
  <c r="L331" i="55"/>
  <c r="J331" i="55"/>
  <c r="H331" i="55"/>
  <c r="G331" i="55"/>
  <c r="F331" i="55"/>
  <c r="D331" i="55"/>
  <c r="C331" i="55"/>
  <c r="B331" i="55"/>
  <c r="L330" i="55"/>
  <c r="E18" i="55"/>
  <c r="J330" i="55"/>
  <c r="H330" i="55"/>
  <c r="G330" i="55"/>
  <c r="F330" i="55"/>
  <c r="D330" i="55"/>
  <c r="C330" i="55"/>
  <c r="B330" i="55"/>
  <c r="L329" i="55"/>
  <c r="K329" i="55"/>
  <c r="J329" i="55"/>
  <c r="I329" i="55"/>
  <c r="H329" i="55"/>
  <c r="G329" i="55"/>
  <c r="F329" i="55"/>
  <c r="E329" i="55"/>
  <c r="D329" i="55"/>
  <c r="C329" i="55"/>
  <c r="B329" i="55"/>
  <c r="L328" i="55"/>
  <c r="E15" i="55"/>
  <c r="I15" i="55" s="1"/>
  <c r="I327" i="55" s="1"/>
  <c r="J328" i="55"/>
  <c r="H328" i="55"/>
  <c r="G328" i="55"/>
  <c r="F328" i="55"/>
  <c r="D328" i="55"/>
  <c r="B328" i="55"/>
  <c r="L327" i="55"/>
  <c r="J327" i="55"/>
  <c r="H327" i="55"/>
  <c r="G327" i="55"/>
  <c r="F327" i="55"/>
  <c r="D327" i="55"/>
  <c r="C327" i="55"/>
  <c r="B327" i="55"/>
  <c r="L326" i="55"/>
  <c r="J326" i="55"/>
  <c r="H326" i="55"/>
  <c r="G326" i="55"/>
  <c r="F326" i="55"/>
  <c r="D326" i="55"/>
  <c r="C326" i="55"/>
  <c r="B326" i="55"/>
  <c r="L325" i="55"/>
  <c r="J325" i="55"/>
  <c r="H325" i="55"/>
  <c r="G325" i="55"/>
  <c r="F325" i="55"/>
  <c r="D325" i="55"/>
  <c r="C325" i="55"/>
  <c r="B325" i="55"/>
  <c r="L324" i="55"/>
  <c r="J324" i="55"/>
  <c r="H324" i="55"/>
  <c r="G324" i="55"/>
  <c r="F324" i="55"/>
  <c r="D324" i="55"/>
  <c r="C324" i="55"/>
  <c r="B324" i="55"/>
  <c r="L323" i="55"/>
  <c r="J323" i="55"/>
  <c r="H323" i="55"/>
  <c r="G323" i="55"/>
  <c r="F323" i="55"/>
  <c r="D323" i="55"/>
  <c r="C323" i="55"/>
  <c r="B323" i="55"/>
  <c r="L322" i="55"/>
  <c r="K322" i="55"/>
  <c r="J322" i="55"/>
  <c r="I322" i="55"/>
  <c r="H322" i="55"/>
  <c r="G322" i="55"/>
  <c r="F322" i="55"/>
  <c r="E322" i="55"/>
  <c r="D322" i="55"/>
  <c r="C322" i="55"/>
  <c r="B322" i="55"/>
  <c r="L321" i="55"/>
  <c r="K321" i="55"/>
  <c r="J321" i="55"/>
  <c r="I321" i="55"/>
  <c r="H321" i="55"/>
  <c r="G321" i="55"/>
  <c r="F321" i="55"/>
  <c r="E321" i="55"/>
  <c r="D321" i="55"/>
  <c r="C321" i="55"/>
  <c r="B321" i="55"/>
  <c r="L320" i="55"/>
  <c r="K320" i="55"/>
  <c r="J320" i="55"/>
  <c r="I320" i="55"/>
  <c r="H320" i="55"/>
  <c r="G320" i="55"/>
  <c r="F320" i="55"/>
  <c r="E320" i="55"/>
  <c r="D320" i="55"/>
  <c r="C320" i="55"/>
  <c r="B320" i="55"/>
  <c r="L319" i="55"/>
  <c r="K319" i="55"/>
  <c r="J319" i="55"/>
  <c r="I319" i="55"/>
  <c r="H319" i="55"/>
  <c r="G319" i="55"/>
  <c r="F319" i="55"/>
  <c r="E319" i="55"/>
  <c r="D319" i="55"/>
  <c r="C319" i="55"/>
  <c r="B319" i="55"/>
  <c r="L318" i="55"/>
  <c r="K318" i="55"/>
  <c r="J318" i="55"/>
  <c r="I318" i="55"/>
  <c r="H318" i="55"/>
  <c r="G318" i="55"/>
  <c r="F318" i="55"/>
  <c r="E318" i="55"/>
  <c r="D318" i="55"/>
  <c r="C318" i="55"/>
  <c r="B318" i="55"/>
  <c r="L317" i="55"/>
  <c r="K317" i="55"/>
  <c r="J317" i="55"/>
  <c r="I317" i="55"/>
  <c r="H317" i="55"/>
  <c r="G317" i="55"/>
  <c r="F317" i="55"/>
  <c r="E317" i="55"/>
  <c r="D317" i="55"/>
  <c r="C317" i="55"/>
  <c r="B317" i="55"/>
  <c r="B315" i="55"/>
  <c r="C1" i="55"/>
  <c r="B314" i="55" s="1"/>
  <c r="M195" i="55"/>
  <c r="L195" i="55"/>
  <c r="K195" i="55"/>
  <c r="J195" i="55"/>
  <c r="I195" i="55"/>
  <c r="H195" i="55"/>
  <c r="G195" i="55"/>
  <c r="F195" i="55"/>
  <c r="E195" i="55"/>
  <c r="D195" i="55"/>
  <c r="C195" i="55"/>
  <c r="B195" i="55"/>
  <c r="K16" i="65" l="1"/>
  <c r="D398" i="54"/>
  <c r="L19" i="65"/>
  <c r="L22" i="65"/>
  <c r="V17" i="57"/>
  <c r="V321" i="57" s="1"/>
  <c r="V13" i="57"/>
  <c r="V317" i="57" s="1"/>
  <c r="R313" i="57"/>
  <c r="R337" i="57"/>
  <c r="V21" i="57"/>
  <c r="V325" i="57" s="1"/>
  <c r="X26" i="57"/>
  <c r="X330" i="57" s="1"/>
  <c r="V32" i="57"/>
  <c r="V336" i="57" s="1"/>
  <c r="R314" i="57"/>
  <c r="X31" i="57"/>
  <c r="X335" i="57" s="1"/>
  <c r="X27" i="57"/>
  <c r="X331" i="57" s="1"/>
  <c r="X23" i="57"/>
  <c r="X327" i="57" s="1"/>
  <c r="X19" i="57"/>
  <c r="X323" i="57" s="1"/>
  <c r="X11" i="57"/>
  <c r="X315" i="57" s="1"/>
  <c r="X17" i="57"/>
  <c r="X321" i="57" s="1"/>
  <c r="B51" i="54"/>
  <c r="B364" i="54" s="1"/>
  <c r="F325" i="56"/>
  <c r="F358" i="56"/>
  <c r="F342" i="56"/>
  <c r="B52" i="54"/>
  <c r="B365" i="54" s="1"/>
  <c r="D358" i="56"/>
  <c r="I71" i="65"/>
  <c r="I74" i="65" s="1"/>
  <c r="D50" i="56"/>
  <c r="D353" i="56" s="1"/>
  <c r="C32" i="58"/>
  <c r="C334" i="58" s="1"/>
  <c r="K156" i="65"/>
  <c r="M10" i="59"/>
  <c r="M309" i="59" s="1"/>
  <c r="M9" i="59"/>
  <c r="M308" i="59" s="1"/>
  <c r="O318" i="59"/>
  <c r="E350" i="65"/>
  <c r="J350" i="65" s="1"/>
  <c r="E351" i="65"/>
  <c r="E360" i="65"/>
  <c r="L360" i="65" s="1"/>
  <c r="E357" i="65"/>
  <c r="L357" i="65" s="1"/>
  <c r="E352" i="65"/>
  <c r="J352" i="65" s="1"/>
  <c r="I310" i="59"/>
  <c r="L358" i="65"/>
  <c r="L350" i="65"/>
  <c r="C328" i="58"/>
  <c r="E328" i="58"/>
  <c r="E34" i="58"/>
  <c r="E336" i="58" s="1"/>
  <c r="E28" i="58"/>
  <c r="E330" i="58" s="1"/>
  <c r="E325" i="58"/>
  <c r="J170" i="65"/>
  <c r="K31" i="58"/>
  <c r="K333" i="58" s="1"/>
  <c r="K317" i="58"/>
  <c r="K35" i="58"/>
  <c r="K337" i="58" s="1"/>
  <c r="L206" i="65"/>
  <c r="M317" i="58"/>
  <c r="J174" i="65"/>
  <c r="J403" i="65"/>
  <c r="L336" i="60"/>
  <c r="K56" i="65"/>
  <c r="L327" i="60"/>
  <c r="L376" i="65"/>
  <c r="I50" i="65"/>
  <c r="C337" i="55"/>
  <c r="C328" i="55"/>
  <c r="C342" i="55"/>
  <c r="P24" i="60"/>
  <c r="P329" i="60" s="1"/>
  <c r="C3" i="58"/>
  <c r="B305" i="58" s="1"/>
  <c r="H8" i="65"/>
  <c r="D18" i="65"/>
  <c r="H20" i="65"/>
  <c r="D23" i="65"/>
  <c r="H36" i="65"/>
  <c r="H43" i="65"/>
  <c r="H73" i="65"/>
  <c r="D103" i="65"/>
  <c r="D125" i="65"/>
  <c r="D146" i="65"/>
  <c r="D192" i="65"/>
  <c r="D237" i="65"/>
  <c r="D272" i="65"/>
  <c r="D296" i="65"/>
  <c r="D319" i="65"/>
  <c r="H386" i="65"/>
  <c r="H399" i="65"/>
  <c r="D402" i="65"/>
  <c r="D209" i="65"/>
  <c r="J3" i="61"/>
  <c r="B301" i="61" s="1"/>
  <c r="D15" i="65"/>
  <c r="H32" i="65"/>
  <c r="D40" i="65"/>
  <c r="D52" i="65"/>
  <c r="H62" i="65"/>
  <c r="H93" i="65"/>
  <c r="D114" i="65"/>
  <c r="D135" i="65"/>
  <c r="H156" i="65"/>
  <c r="D172" i="65"/>
  <c r="H181" i="65"/>
  <c r="D227" i="65"/>
  <c r="D249" i="65"/>
  <c r="D283" i="65"/>
  <c r="D307" i="65"/>
  <c r="D330" i="65"/>
  <c r="H368" i="65"/>
  <c r="H378" i="65"/>
  <c r="D388" i="65"/>
  <c r="D398" i="65"/>
  <c r="H403" i="65"/>
  <c r="D406" i="65"/>
  <c r="D412" i="65"/>
  <c r="I34" i="65"/>
  <c r="L34" i="65" s="1"/>
  <c r="C28" i="58"/>
  <c r="C330" i="58" s="1"/>
  <c r="C34" i="58"/>
  <c r="C336" i="58" s="1"/>
  <c r="L163" i="65"/>
  <c r="J156" i="65"/>
  <c r="J187" i="65"/>
  <c r="L185" i="65"/>
  <c r="L205" i="65"/>
  <c r="I17" i="58"/>
  <c r="I319" i="58" s="1"/>
  <c r="I35" i="58"/>
  <c r="I337" i="58" s="1"/>
  <c r="I31" i="58"/>
  <c r="I333" i="58" s="1"/>
  <c r="J21" i="65"/>
  <c r="J20" i="65"/>
  <c r="K22" i="65"/>
  <c r="J22" i="65"/>
  <c r="L51" i="65"/>
  <c r="G44" i="55"/>
  <c r="I341" i="58"/>
  <c r="L224" i="65"/>
  <c r="P335" i="57"/>
  <c r="H341" i="57"/>
  <c r="X21" i="57"/>
  <c r="X325" i="57" s="1"/>
  <c r="N341" i="57"/>
  <c r="X15" i="57"/>
  <c r="X319" i="57" s="1"/>
  <c r="X13" i="57"/>
  <c r="X317" i="57" s="1"/>
  <c r="I63" i="65"/>
  <c r="K63" i="65" s="1"/>
  <c r="F53" i="54"/>
  <c r="F366" i="54" s="1"/>
  <c r="F27" i="54"/>
  <c r="F339" i="54" s="1"/>
  <c r="F52" i="54"/>
  <c r="F365" i="54" s="1"/>
  <c r="J66" i="65"/>
  <c r="I61" i="65"/>
  <c r="J61" i="65" s="1"/>
  <c r="F41" i="56"/>
  <c r="F333" i="56"/>
  <c r="J399" i="65"/>
  <c r="L395" i="65"/>
  <c r="J394" i="65"/>
  <c r="J392" i="65"/>
  <c r="J388" i="65"/>
  <c r="J387" i="65"/>
  <c r="L386" i="65"/>
  <c r="J386" i="65"/>
  <c r="J43" i="60"/>
  <c r="J348" i="60" s="1"/>
  <c r="J376" i="65"/>
  <c r="P26" i="60"/>
  <c r="P331" i="60" s="1"/>
  <c r="P25" i="60"/>
  <c r="P330" i="60" s="1"/>
  <c r="F43" i="60"/>
  <c r="H43" i="60" s="1"/>
  <c r="N39" i="60"/>
  <c r="N344" i="60" s="1"/>
  <c r="N22" i="60"/>
  <c r="N327" i="60" s="1"/>
  <c r="L222" i="65"/>
  <c r="M40" i="58"/>
  <c r="M342" i="58" s="1"/>
  <c r="L220" i="65"/>
  <c r="M28" i="58"/>
  <c r="M330" i="58" s="1"/>
  <c r="J210" i="65"/>
  <c r="M12" i="59"/>
  <c r="M311" i="59" s="1"/>
  <c r="M6" i="59"/>
  <c r="M305" i="59" s="1"/>
  <c r="L156" i="65"/>
  <c r="J357" i="65"/>
  <c r="E354" i="65"/>
  <c r="J354" i="65" s="1"/>
  <c r="L349" i="65"/>
  <c r="J349" i="65"/>
  <c r="E348" i="65"/>
  <c r="L348" i="65" s="1"/>
  <c r="Z16" i="61"/>
  <c r="Z314" i="61" s="1"/>
  <c r="X315" i="61"/>
  <c r="Z14" i="61"/>
  <c r="Z312" i="61" s="1"/>
  <c r="X313" i="61"/>
  <c r="Z12" i="61"/>
  <c r="Z310" i="61" s="1"/>
  <c r="X311" i="61"/>
  <c r="T311" i="61"/>
  <c r="T310" i="61"/>
  <c r="T307" i="61"/>
  <c r="E11" i="55"/>
  <c r="I11" i="55" s="1"/>
  <c r="I323" i="55" s="1"/>
  <c r="E330" i="55"/>
  <c r="E21" i="55"/>
  <c r="I21" i="55" s="1"/>
  <c r="I333" i="55" s="1"/>
  <c r="E33" i="55"/>
  <c r="E347" i="55" s="1"/>
  <c r="E41" i="55"/>
  <c r="E355" i="55" s="1"/>
  <c r="E49" i="55"/>
  <c r="E363" i="55" s="1"/>
  <c r="E54" i="55"/>
  <c r="E40" i="55"/>
  <c r="I40" i="55" s="1"/>
  <c r="I354" i="55" s="1"/>
  <c r="H335" i="60"/>
  <c r="E25" i="55"/>
  <c r="E337" i="55" s="1"/>
  <c r="E14" i="55"/>
  <c r="E19" i="55"/>
  <c r="I19" i="55" s="1"/>
  <c r="I331" i="55" s="1"/>
  <c r="E29" i="55"/>
  <c r="H341" i="60"/>
  <c r="E12" i="55"/>
  <c r="I12" i="55" s="1"/>
  <c r="I324" i="55" s="1"/>
  <c r="E20" i="55"/>
  <c r="I20" i="55" s="1"/>
  <c r="I332" i="55" s="1"/>
  <c r="E34" i="55"/>
  <c r="I34" i="55" s="1"/>
  <c r="I348" i="55" s="1"/>
  <c r="E27" i="55"/>
  <c r="H333" i="60"/>
  <c r="P28" i="60"/>
  <c r="P333" i="60" s="1"/>
  <c r="E13" i="55"/>
  <c r="I18" i="55"/>
  <c r="I330" i="55" s="1"/>
  <c r="E22" i="55"/>
  <c r="E339" i="55"/>
  <c r="E32" i="55"/>
  <c r="E38" i="55"/>
  <c r="E45" i="55"/>
  <c r="E50" i="55"/>
  <c r="I50" i="55" s="1"/>
  <c r="I364" i="55" s="1"/>
  <c r="E53" i="55"/>
  <c r="E28" i="55"/>
  <c r="B313" i="54"/>
  <c r="H316" i="60"/>
  <c r="H332" i="60"/>
  <c r="H342" i="60"/>
  <c r="P323" i="57"/>
  <c r="P327" i="57"/>
  <c r="R336" i="57"/>
  <c r="V20" i="57"/>
  <c r="V324" i="57" s="1"/>
  <c r="M325" i="58"/>
  <c r="J153" i="65"/>
  <c r="X32" i="57"/>
  <c r="X336" i="57" s="1"/>
  <c r="X20" i="57"/>
  <c r="X324" i="57" s="1"/>
  <c r="X24" i="57"/>
  <c r="X328" i="57" s="1"/>
  <c r="X16" i="57"/>
  <c r="X320" i="57" s="1"/>
  <c r="I95" i="65"/>
  <c r="D52" i="54"/>
  <c r="D365" i="54" s="1"/>
  <c r="E64" i="65"/>
  <c r="I87" i="65"/>
  <c r="J87" i="65" s="1"/>
  <c r="J24" i="65"/>
  <c r="L24" i="65"/>
  <c r="K15" i="55"/>
  <c r="K327" i="55" s="1"/>
  <c r="D7" i="54"/>
  <c r="D319" i="54" s="1"/>
  <c r="E30" i="58"/>
  <c r="E332" i="58" s="1"/>
  <c r="X36" i="57"/>
  <c r="X340" i="57" s="1"/>
  <c r="R340" i="57"/>
  <c r="R332" i="57"/>
  <c r="X28" i="57"/>
  <c r="X332" i="57" s="1"/>
  <c r="V24" i="57"/>
  <c r="V328" i="57" s="1"/>
  <c r="R328" i="57"/>
  <c r="V16" i="57"/>
  <c r="V320" i="57" s="1"/>
  <c r="R320" i="57"/>
  <c r="V8" i="57"/>
  <c r="V312" i="57" s="1"/>
  <c r="X8" i="57"/>
  <c r="X312" i="57" s="1"/>
  <c r="X35" i="57"/>
  <c r="X339" i="57" s="1"/>
  <c r="P339" i="57"/>
  <c r="E317" i="58"/>
  <c r="E35" i="58"/>
  <c r="E337" i="58" s="1"/>
  <c r="E31" i="58"/>
  <c r="E333" i="58" s="1"/>
  <c r="X307" i="61"/>
  <c r="J25" i="65"/>
  <c r="K25" i="65"/>
  <c r="P37" i="57"/>
  <c r="E89" i="65" s="1"/>
  <c r="P314" i="57"/>
  <c r="E86" i="65"/>
  <c r="L86" i="65" s="1"/>
  <c r="J341" i="57"/>
  <c r="E31" i="65"/>
  <c r="L31" i="65" s="1"/>
  <c r="Z11" i="61"/>
  <c r="Z309" i="61" s="1"/>
  <c r="X310" i="61"/>
  <c r="H321" i="60"/>
  <c r="H326" i="60"/>
  <c r="P331" i="57"/>
  <c r="L341" i="57"/>
  <c r="V12" i="57"/>
  <c r="V316" i="57" s="1"/>
  <c r="K28" i="58"/>
  <c r="K330" i="58" s="1"/>
  <c r="K328" i="58"/>
  <c r="K32" i="58"/>
  <c r="K334" i="58" s="1"/>
  <c r="X331" i="61"/>
  <c r="D43" i="60"/>
  <c r="D348" i="60" s="1"/>
  <c r="J23" i="65"/>
  <c r="X12" i="57"/>
  <c r="X316" i="57" s="1"/>
  <c r="I67" i="65"/>
  <c r="I70" i="65" s="1"/>
  <c r="I75" i="65"/>
  <c r="I78" i="65" s="1"/>
  <c r="J78" i="65" s="1"/>
  <c r="Z19" i="61"/>
  <c r="Z317" i="61" s="1"/>
  <c r="X318" i="61"/>
  <c r="L55" i="65"/>
  <c r="J192" i="65"/>
  <c r="L218" i="65"/>
  <c r="K53" i="65"/>
  <c r="J369" i="65"/>
  <c r="L183" i="65"/>
  <c r="J204" i="65"/>
  <c r="L215" i="65"/>
  <c r="N31" i="60"/>
  <c r="N336" i="60" s="1"/>
  <c r="P51" i="60"/>
  <c r="P355" i="60" s="1"/>
  <c r="I28" i="58"/>
  <c r="I330" i="58" s="1"/>
  <c r="X34" i="57"/>
  <c r="X338" i="57" s="1"/>
  <c r="V30" i="57"/>
  <c r="V334" i="57" s="1"/>
  <c r="V26" i="57"/>
  <c r="V330" i="57" s="1"/>
  <c r="V22" i="57"/>
  <c r="V326" i="57" s="1"/>
  <c r="X18" i="57"/>
  <c r="X322" i="57" s="1"/>
  <c r="V14" i="57"/>
  <c r="V318" i="57" s="1"/>
  <c r="V10" i="57"/>
  <c r="V314" i="57" s="1"/>
  <c r="C44" i="55"/>
  <c r="J17" i="65"/>
  <c r="I42" i="65"/>
  <c r="L42" i="65" s="1"/>
  <c r="J65" i="65"/>
  <c r="J56" i="65"/>
  <c r="L188" i="65"/>
  <c r="J191" i="65"/>
  <c r="J197" i="65"/>
  <c r="L202" i="65"/>
  <c r="L364" i="65"/>
  <c r="L361" i="65"/>
  <c r="I37" i="55"/>
  <c r="I351" i="55" s="1"/>
  <c r="E351" i="55"/>
  <c r="E39" i="55"/>
  <c r="I39" i="55" s="1"/>
  <c r="I353" i="55" s="1"/>
  <c r="E354" i="55"/>
  <c r="H323" i="60"/>
  <c r="P29" i="60"/>
  <c r="P334" i="60" s="1"/>
  <c r="P12" i="60"/>
  <c r="P317" i="60" s="1"/>
  <c r="J411" i="65"/>
  <c r="K55" i="65"/>
  <c r="L16" i="65"/>
  <c r="K17" i="65"/>
  <c r="L27" i="65"/>
  <c r="H79" i="65"/>
  <c r="D214" i="65"/>
  <c r="D261" i="65"/>
  <c r="H56" i="65"/>
  <c r="J214" i="65"/>
  <c r="J405" i="65"/>
  <c r="J82" i="65"/>
  <c r="L411" i="65"/>
  <c r="J55" i="65"/>
  <c r="K20" i="65"/>
  <c r="L13" i="65"/>
  <c r="E419" i="65"/>
  <c r="K419" i="65" s="1"/>
  <c r="J365" i="65"/>
  <c r="J16" i="65"/>
  <c r="J27" i="65"/>
  <c r="K21" i="65"/>
  <c r="D159" i="65"/>
  <c r="D167" i="65"/>
  <c r="D175" i="65"/>
  <c r="D203" i="65"/>
  <c r="D341" i="65"/>
  <c r="L21" i="65"/>
  <c r="J393" i="65"/>
  <c r="J396" i="65"/>
  <c r="J398" i="65"/>
  <c r="J400" i="65"/>
  <c r="J402" i="65"/>
  <c r="J404" i="65"/>
  <c r="D54" i="65"/>
  <c r="L184" i="65"/>
  <c r="L194" i="65"/>
  <c r="L196" i="65"/>
  <c r="L201" i="65"/>
  <c r="L211" i="65"/>
  <c r="L213" i="65"/>
  <c r="L219" i="65"/>
  <c r="L356" i="65"/>
  <c r="K13" i="65"/>
  <c r="L61" i="65"/>
  <c r="H65" i="65"/>
  <c r="D86" i="65"/>
  <c r="D198" i="65"/>
  <c r="D220" i="65"/>
  <c r="D266" i="65"/>
  <c r="D336" i="65"/>
  <c r="I37" i="65"/>
  <c r="L189" i="65"/>
  <c r="L207" i="65"/>
  <c r="J225" i="65"/>
  <c r="D354" i="65"/>
  <c r="M319" i="58"/>
  <c r="J11" i="65"/>
  <c r="K11" i="65"/>
  <c r="Z10" i="61"/>
  <c r="Z308" i="61" s="1"/>
  <c r="X309" i="61"/>
  <c r="E336" i="55"/>
  <c r="E323" i="55"/>
  <c r="E327" i="55"/>
  <c r="K19" i="55"/>
  <c r="K331" i="55" s="1"/>
  <c r="E352" i="55"/>
  <c r="I38" i="55"/>
  <c r="I352" i="55" s="1"/>
  <c r="E360" i="55"/>
  <c r="I46" i="55"/>
  <c r="I360" i="55" s="1"/>
  <c r="Z34" i="61"/>
  <c r="Z332" i="61" s="1"/>
  <c r="X333" i="61"/>
  <c r="Z26" i="61"/>
  <c r="Z324" i="61" s="1"/>
  <c r="X325" i="61"/>
  <c r="I24" i="55"/>
  <c r="I336" i="55" s="1"/>
  <c r="P39" i="60"/>
  <c r="P344" i="60" s="1"/>
  <c r="P338" i="60"/>
  <c r="B315" i="54"/>
  <c r="B373" i="54"/>
  <c r="K85" i="65"/>
  <c r="J85" i="65"/>
  <c r="L85" i="65"/>
  <c r="Z22" i="61"/>
  <c r="Z320" i="61" s="1"/>
  <c r="X321" i="61"/>
  <c r="Z18" i="61"/>
  <c r="Z316" i="61" s="1"/>
  <c r="X317" i="61"/>
  <c r="I23" i="55"/>
  <c r="I335" i="55" s="1"/>
  <c r="E331" i="55"/>
  <c r="E333" i="55"/>
  <c r="E335" i="55"/>
  <c r="E364" i="55"/>
  <c r="J195" i="65"/>
  <c r="L195" i="65"/>
  <c r="J212" i="65"/>
  <c r="L212" i="65"/>
  <c r="J355" i="65"/>
  <c r="L355" i="65"/>
  <c r="H338" i="60"/>
  <c r="N13" i="60"/>
  <c r="N318" i="60" s="1"/>
  <c r="P17" i="60"/>
  <c r="P322" i="60" s="1"/>
  <c r="V35" i="57"/>
  <c r="V339" i="57" s="1"/>
  <c r="V31" i="57"/>
  <c r="V335" i="57" s="1"/>
  <c r="V27" i="57"/>
  <c r="V331" i="57" s="1"/>
  <c r="V23" i="57"/>
  <c r="V327" i="57" s="1"/>
  <c r="V19" i="57"/>
  <c r="V323" i="57" s="1"/>
  <c r="V15" i="57"/>
  <c r="V319" i="57" s="1"/>
  <c r="V11" i="57"/>
  <c r="V315" i="57" s="1"/>
  <c r="C325" i="58"/>
  <c r="M31" i="58"/>
  <c r="M333" i="58" s="1"/>
  <c r="M35" i="58"/>
  <c r="M337" i="58" s="1"/>
  <c r="I32" i="58"/>
  <c r="I334" i="58" s="1"/>
  <c r="D27" i="54"/>
  <c r="D339" i="54" s="1"/>
  <c r="L153" i="65"/>
  <c r="X30" i="57"/>
  <c r="X334" i="57" s="1"/>
  <c r="X14" i="57"/>
  <c r="K61" i="65"/>
  <c r="H9" i="65"/>
  <c r="H15" i="65"/>
  <c r="H16" i="65"/>
  <c r="H21" i="65"/>
  <c r="H23" i="65"/>
  <c r="H25" i="65"/>
  <c r="H29" i="65"/>
  <c r="H33" i="65"/>
  <c r="D38" i="65"/>
  <c r="D41" i="65"/>
  <c r="H44" i="65"/>
  <c r="D47" i="65"/>
  <c r="D53" i="65"/>
  <c r="D60" i="65"/>
  <c r="H63" i="65"/>
  <c r="D66" i="65"/>
  <c r="H69" i="65"/>
  <c r="H75" i="65"/>
  <c r="H80" i="65"/>
  <c r="H86" i="65"/>
  <c r="H89" i="65"/>
  <c r="D95" i="65"/>
  <c r="D99" i="65"/>
  <c r="D105" i="65"/>
  <c r="D110" i="65"/>
  <c r="D115" i="65"/>
  <c r="D121" i="65"/>
  <c r="D126" i="65"/>
  <c r="D131" i="65"/>
  <c r="D137" i="65"/>
  <c r="D142" i="65"/>
  <c r="D147" i="65"/>
  <c r="D153" i="65"/>
  <c r="D161" i="65"/>
  <c r="D169" i="65"/>
  <c r="D177" i="65"/>
  <c r="D182" i="65"/>
  <c r="D188" i="65"/>
  <c r="D194" i="65"/>
  <c r="D199" i="65"/>
  <c r="D205" i="65"/>
  <c r="D210" i="65"/>
  <c r="D215" i="65"/>
  <c r="D222" i="65"/>
  <c r="D228" i="65"/>
  <c r="D233" i="65"/>
  <c r="D239" i="65"/>
  <c r="D245" i="65"/>
  <c r="D250" i="65"/>
  <c r="D257" i="65"/>
  <c r="D262" i="65"/>
  <c r="D267" i="65"/>
  <c r="D274" i="65"/>
  <c r="D279" i="65"/>
  <c r="D284" i="65"/>
  <c r="D292" i="65"/>
  <c r="D297" i="65"/>
  <c r="D303" i="65"/>
  <c r="D309" i="65"/>
  <c r="D314" i="65"/>
  <c r="D320" i="65"/>
  <c r="D326" i="65"/>
  <c r="D331" i="65"/>
  <c r="D337" i="65"/>
  <c r="D365" i="65"/>
  <c r="D370" i="65"/>
  <c r="H373" i="65"/>
  <c r="H377" i="65"/>
  <c r="H381" i="65"/>
  <c r="H385" i="65"/>
  <c r="D387" i="65"/>
  <c r="H388" i="65"/>
  <c r="H390" i="65"/>
  <c r="D392" i="65"/>
  <c r="H393" i="65"/>
  <c r="H395" i="65"/>
  <c r="D397" i="65"/>
  <c r="H398" i="65"/>
  <c r="D401" i="65"/>
  <c r="H402" i="65"/>
  <c r="D405" i="65"/>
  <c r="D407" i="65"/>
  <c r="D413" i="65"/>
  <c r="H419" i="65"/>
  <c r="J367" i="65"/>
  <c r="Y38" i="61"/>
  <c r="H49" i="65"/>
  <c r="L56" i="65"/>
  <c r="L26" i="65"/>
  <c r="L43" i="65"/>
  <c r="J364" i="65"/>
  <c r="D346" i="65"/>
  <c r="D342" i="65"/>
  <c r="D338" i="65"/>
  <c r="D334" i="65"/>
  <c r="D268" i="65"/>
  <c r="D264" i="65"/>
  <c r="D260" i="65"/>
  <c r="D221" i="65"/>
  <c r="D217" i="65"/>
  <c r="D212" i="65"/>
  <c r="D208" i="65"/>
  <c r="D204" i="65"/>
  <c r="D200" i="65"/>
  <c r="D196" i="65"/>
  <c r="D178" i="65"/>
  <c r="D174" i="65"/>
  <c r="D170" i="65"/>
  <c r="D166" i="65"/>
  <c r="D162" i="65"/>
  <c r="D158" i="65"/>
  <c r="D85" i="65"/>
  <c r="D79" i="65"/>
  <c r="D75" i="65"/>
  <c r="D63" i="65"/>
  <c r="H11" i="65"/>
  <c r="J34" i="65"/>
  <c r="K34" i="65"/>
  <c r="J190" i="65"/>
  <c r="L190" i="65"/>
  <c r="J208" i="65"/>
  <c r="L208" i="65"/>
  <c r="D349" i="65"/>
  <c r="D353" i="65"/>
  <c r="D357" i="65"/>
  <c r="D361" i="65"/>
  <c r="H364" i="65"/>
  <c r="H27" i="65"/>
  <c r="D352" i="65"/>
  <c r="D356" i="65"/>
  <c r="D360" i="65"/>
  <c r="D55" i="65"/>
  <c r="H54" i="65"/>
  <c r="D418" i="65"/>
  <c r="D351" i="65"/>
  <c r="D355" i="65"/>
  <c r="D359" i="65"/>
  <c r="D364" i="65"/>
  <c r="H55" i="65"/>
  <c r="H53" i="65"/>
  <c r="D422" i="65"/>
  <c r="D415" i="65"/>
  <c r="H411" i="65"/>
  <c r="D408" i="65"/>
  <c r="D395" i="65"/>
  <c r="D391" i="65"/>
  <c r="D390" i="65"/>
  <c r="D389" i="65"/>
  <c r="D386" i="65"/>
  <c r="D385" i="65"/>
  <c r="D384" i="65"/>
  <c r="D383" i="65"/>
  <c r="D382" i="65"/>
  <c r="D381" i="65"/>
  <c r="D380" i="65"/>
  <c r="D379" i="65"/>
  <c r="D378" i="65"/>
  <c r="D377" i="65"/>
  <c r="D376" i="65"/>
  <c r="D375" i="65"/>
  <c r="D374" i="65"/>
  <c r="D373" i="65"/>
  <c r="D372" i="65"/>
  <c r="D371" i="65"/>
  <c r="D367" i="65"/>
  <c r="D366" i="65"/>
  <c r="D329" i="65"/>
  <c r="D325" i="65"/>
  <c r="D321" i="65"/>
  <c r="D316" i="65"/>
  <c r="D312" i="65"/>
  <c r="D308" i="65"/>
  <c r="D304" i="65"/>
  <c r="D299" i="65"/>
  <c r="D295" i="65"/>
  <c r="D291" i="65"/>
  <c r="D285" i="65"/>
  <c r="D281" i="65"/>
  <c r="D277" i="65"/>
  <c r="D273" i="65"/>
  <c r="D255" i="65"/>
  <c r="D251" i="65"/>
  <c r="D247" i="65"/>
  <c r="D243" i="65"/>
  <c r="D238" i="65"/>
  <c r="D234" i="65"/>
  <c r="D230" i="65"/>
  <c r="D225" i="65"/>
  <c r="D191" i="65"/>
  <c r="D187" i="65"/>
  <c r="D183" i="65"/>
  <c r="D156" i="65"/>
  <c r="D152" i="65"/>
  <c r="D148" i="65"/>
  <c r="D144" i="65"/>
  <c r="D140" i="65"/>
  <c r="D136" i="65"/>
  <c r="D132" i="65"/>
  <c r="D128" i="65"/>
  <c r="D124" i="65"/>
  <c r="D120" i="65"/>
  <c r="D116" i="65"/>
  <c r="D112" i="65"/>
  <c r="D108" i="65"/>
  <c r="D104" i="65"/>
  <c r="D100" i="65"/>
  <c r="D96" i="65"/>
  <c r="H92" i="65"/>
  <c r="D89" i="65"/>
  <c r="D87" i="65"/>
  <c r="D71" i="65"/>
  <c r="D67" i="65"/>
  <c r="D65" i="65"/>
  <c r="D61" i="65"/>
  <c r="D51" i="65"/>
  <c r="H45" i="65"/>
  <c r="D43" i="65"/>
  <c r="H40" i="65"/>
  <c r="H38" i="65"/>
  <c r="D35" i="65"/>
  <c r="D32" i="65"/>
  <c r="D29" i="65"/>
  <c r="D26" i="65"/>
  <c r="D21" i="65"/>
  <c r="H14" i="65"/>
  <c r="D12" i="65"/>
  <c r="J186" i="65"/>
  <c r="L186" i="65"/>
  <c r="J203" i="65"/>
  <c r="L203" i="65"/>
  <c r="J221" i="65"/>
  <c r="L221" i="65"/>
  <c r="J359" i="65"/>
  <c r="L359" i="65"/>
  <c r="J351" i="65"/>
  <c r="L351" i="65"/>
  <c r="H13" i="60"/>
  <c r="H318" i="60" s="1"/>
  <c r="H340" i="60"/>
  <c r="D53" i="54"/>
  <c r="D366" i="54" s="1"/>
  <c r="L23" i="65"/>
  <c r="K43" i="65"/>
  <c r="X22" i="57"/>
  <c r="X326" i="57" s="1"/>
  <c r="I62" i="65"/>
  <c r="E67" i="65"/>
  <c r="K82" i="65"/>
  <c r="L18" i="65"/>
  <c r="H10" i="65"/>
  <c r="J12" i="65"/>
  <c r="H48" i="65"/>
  <c r="D62" i="65"/>
  <c r="H64" i="65"/>
  <c r="H67" i="65"/>
  <c r="H72" i="65"/>
  <c r="H77" i="65"/>
  <c r="H85" i="65"/>
  <c r="D88" i="65"/>
  <c r="D92" i="65"/>
  <c r="D97" i="65"/>
  <c r="D102" i="65"/>
  <c r="D107" i="65"/>
  <c r="D113" i="65"/>
  <c r="D118" i="65"/>
  <c r="D123" i="65"/>
  <c r="D129" i="65"/>
  <c r="D134" i="65"/>
  <c r="D139" i="65"/>
  <c r="D145" i="65"/>
  <c r="D150" i="65"/>
  <c r="H155" i="65"/>
  <c r="D157" i="65"/>
  <c r="D165" i="65"/>
  <c r="D173" i="65"/>
  <c r="D181" i="65"/>
  <c r="D185" i="65"/>
  <c r="D190" i="65"/>
  <c r="D197" i="65"/>
  <c r="D202" i="65"/>
  <c r="D207" i="65"/>
  <c r="D213" i="65"/>
  <c r="D219" i="65"/>
  <c r="D224" i="65"/>
  <c r="D231" i="65"/>
  <c r="D236" i="65"/>
  <c r="D242" i="65"/>
  <c r="D248" i="65"/>
  <c r="D253" i="65"/>
  <c r="D259" i="65"/>
  <c r="D265" i="65"/>
  <c r="D270" i="65"/>
  <c r="D276" i="65"/>
  <c r="D282" i="65"/>
  <c r="D289" i="65"/>
  <c r="D294" i="65"/>
  <c r="D300" i="65"/>
  <c r="D306" i="65"/>
  <c r="D311" i="65"/>
  <c r="D318" i="65"/>
  <c r="D323" i="65"/>
  <c r="D328" i="65"/>
  <c r="D335" i="65"/>
  <c r="D340" i="65"/>
  <c r="D345" i="65"/>
  <c r="H366" i="65"/>
  <c r="D368" i="65"/>
  <c r="H369" i="65"/>
  <c r="H371" i="65"/>
  <c r="H375" i="65"/>
  <c r="H379" i="65"/>
  <c r="H383" i="65"/>
  <c r="D394" i="65"/>
  <c r="H396" i="65"/>
  <c r="D399" i="65"/>
  <c r="H400" i="65"/>
  <c r="D403" i="65"/>
  <c r="H404" i="65"/>
  <c r="D410" i="65"/>
  <c r="D411" i="65"/>
  <c r="D416" i="65"/>
  <c r="K66" i="65"/>
  <c r="D56" i="65"/>
  <c r="D358" i="65"/>
  <c r="J182" i="65"/>
  <c r="L182" i="65"/>
  <c r="J199" i="65"/>
  <c r="L199" i="65"/>
  <c r="J217" i="65"/>
  <c r="L217" i="65"/>
  <c r="N320" i="60"/>
  <c r="R338" i="57"/>
  <c r="V34" i="57"/>
  <c r="V338" i="57" s="1"/>
  <c r="V18" i="57"/>
  <c r="V322" i="57" s="1"/>
  <c r="E319" i="58"/>
  <c r="D26" i="54"/>
  <c r="L43" i="60"/>
  <c r="G28" i="58"/>
  <c r="R37" i="57"/>
  <c r="I88" i="65"/>
  <c r="L88" i="65" s="1"/>
  <c r="D41" i="56"/>
  <c r="L82" i="65"/>
  <c r="D10" i="65"/>
  <c r="D11" i="65"/>
  <c r="H12" i="65"/>
  <c r="H13" i="65"/>
  <c r="H26" i="65"/>
  <c r="D30" i="65"/>
  <c r="H34" i="65"/>
  <c r="D39" i="65"/>
  <c r="H41" i="65"/>
  <c r="H47" i="65"/>
  <c r="H61" i="65"/>
  <c r="D64" i="65"/>
  <c r="H66" i="65"/>
  <c r="H71" i="65"/>
  <c r="H76" i="65"/>
  <c r="H81" i="65"/>
  <c r="H87" i="65"/>
  <c r="H90" i="65"/>
  <c r="H95" i="65"/>
  <c r="D101" i="65"/>
  <c r="D106" i="65"/>
  <c r="D111" i="65"/>
  <c r="D117" i="65"/>
  <c r="D122" i="65"/>
  <c r="D127" i="65"/>
  <c r="D133" i="65"/>
  <c r="D138" i="65"/>
  <c r="D143" i="65"/>
  <c r="D149" i="65"/>
  <c r="D155" i="65"/>
  <c r="D160" i="65"/>
  <c r="D163" i="65"/>
  <c r="D168" i="65"/>
  <c r="D171" i="65"/>
  <c r="D176" i="65"/>
  <c r="D179" i="65"/>
  <c r="D184" i="65"/>
  <c r="D189" i="65"/>
  <c r="D195" i="65"/>
  <c r="D201" i="65"/>
  <c r="D206" i="65"/>
  <c r="D211" i="65"/>
  <c r="D218" i="65"/>
  <c r="D223" i="65"/>
  <c r="D229" i="65"/>
  <c r="D235" i="65"/>
  <c r="D240" i="65"/>
  <c r="D246" i="65"/>
  <c r="D252" i="65"/>
  <c r="D258" i="65"/>
  <c r="D263" i="65"/>
  <c r="D269" i="65"/>
  <c r="D275" i="65"/>
  <c r="D280" i="65"/>
  <c r="D288" i="65"/>
  <c r="D293" i="65"/>
  <c r="D298" i="65"/>
  <c r="D305" i="65"/>
  <c r="D310" i="65"/>
  <c r="D315" i="65"/>
  <c r="D322" i="65"/>
  <c r="D327" i="65"/>
  <c r="D333" i="65"/>
  <c r="D339" i="65"/>
  <c r="D344" i="65"/>
  <c r="H365" i="65"/>
  <c r="H367" i="65"/>
  <c r="D369" i="65"/>
  <c r="H370" i="65"/>
  <c r="H372" i="65"/>
  <c r="H376" i="65"/>
  <c r="H380" i="65"/>
  <c r="H384" i="65"/>
  <c r="H387" i="65"/>
  <c r="H389" i="65"/>
  <c r="H392" i="65"/>
  <c r="D396" i="65"/>
  <c r="H397" i="65"/>
  <c r="D400" i="65"/>
  <c r="H401" i="65"/>
  <c r="D404" i="65"/>
  <c r="H405" i="65"/>
  <c r="D409" i="65"/>
  <c r="D414" i="65"/>
  <c r="D423" i="65"/>
  <c r="I10" i="65"/>
  <c r="K10" i="65" s="1"/>
  <c r="L17" i="65"/>
  <c r="I46" i="65"/>
  <c r="L65" i="65"/>
  <c r="J368" i="65"/>
  <c r="L370" i="65"/>
  <c r="J391" i="65"/>
  <c r="D348" i="65"/>
  <c r="J353" i="65"/>
  <c r="F55" i="54" l="1"/>
  <c r="I9" i="65" s="1"/>
  <c r="E71" i="65"/>
  <c r="L74" i="65" s="1"/>
  <c r="F28" i="54"/>
  <c r="F340" i="54" s="1"/>
  <c r="I92" i="65"/>
  <c r="I94" i="65" s="1"/>
  <c r="K87" i="65"/>
  <c r="L87" i="65"/>
  <c r="J360" i="65"/>
  <c r="J348" i="65"/>
  <c r="L352" i="65"/>
  <c r="M30" i="58"/>
  <c r="M332" i="58" s="1"/>
  <c r="P31" i="60"/>
  <c r="P336" i="60" s="1"/>
  <c r="I49" i="55"/>
  <c r="I363" i="55" s="1"/>
  <c r="I41" i="55"/>
  <c r="I355" i="55" s="1"/>
  <c r="E42" i="55"/>
  <c r="I42" i="55" s="1"/>
  <c r="I356" i="55" s="1"/>
  <c r="I33" i="55"/>
  <c r="I347" i="55" s="1"/>
  <c r="K20" i="55"/>
  <c r="K332" i="55" s="1"/>
  <c r="K39" i="55"/>
  <c r="K353" i="55" s="1"/>
  <c r="K23" i="55"/>
  <c r="K335" i="55" s="1"/>
  <c r="K42" i="65"/>
  <c r="J42" i="65"/>
  <c r="I30" i="58"/>
  <c r="I332" i="58" s="1"/>
  <c r="L10" i="65"/>
  <c r="K40" i="55"/>
  <c r="K354" i="55" s="1"/>
  <c r="G51" i="55"/>
  <c r="G358" i="55"/>
  <c r="K50" i="55"/>
  <c r="K364" i="55" s="1"/>
  <c r="K46" i="55"/>
  <c r="K360" i="55" s="1"/>
  <c r="K42" i="55"/>
  <c r="K356" i="55" s="1"/>
  <c r="E356" i="55"/>
  <c r="K38" i="55"/>
  <c r="K352" i="55" s="1"/>
  <c r="K37" i="55"/>
  <c r="K351" i="55" s="1"/>
  <c r="K34" i="55"/>
  <c r="K348" i="55" s="1"/>
  <c r="K21" i="55"/>
  <c r="K333" i="55" s="1"/>
  <c r="E332" i="55"/>
  <c r="K18" i="55"/>
  <c r="K330" i="55" s="1"/>
  <c r="E324" i="55"/>
  <c r="K12" i="55"/>
  <c r="K324" i="55" s="1"/>
  <c r="K31" i="65"/>
  <c r="E30" i="55"/>
  <c r="J31" i="65"/>
  <c r="E16" i="55"/>
  <c r="I16" i="55" s="1"/>
  <c r="K11" i="55"/>
  <c r="K323" i="55" s="1"/>
  <c r="P341" i="57"/>
  <c r="K86" i="65"/>
  <c r="J86" i="65"/>
  <c r="K78" i="65"/>
  <c r="F30" i="54"/>
  <c r="F342" i="54" s="1"/>
  <c r="L63" i="65"/>
  <c r="J63" i="65"/>
  <c r="L78" i="65"/>
  <c r="E60" i="65"/>
  <c r="F344" i="56"/>
  <c r="E408" i="65"/>
  <c r="J408" i="65" s="1"/>
  <c r="E407" i="65"/>
  <c r="L407" i="65" s="1"/>
  <c r="F348" i="60"/>
  <c r="N43" i="60"/>
  <c r="N348" i="60" s="1"/>
  <c r="E406" i="65"/>
  <c r="L406" i="65" s="1"/>
  <c r="L354" i="65"/>
  <c r="E348" i="55"/>
  <c r="I14" i="55"/>
  <c r="I326" i="55" s="1"/>
  <c r="E326" i="55"/>
  <c r="I54" i="55"/>
  <c r="I368" i="55" s="1"/>
  <c r="E368" i="55"/>
  <c r="I27" i="55"/>
  <c r="I339" i="55" s="1"/>
  <c r="K27" i="55"/>
  <c r="K339" i="55" s="1"/>
  <c r="I25" i="55"/>
  <c r="I337" i="55" s="1"/>
  <c r="E341" i="55"/>
  <c r="I29" i="55"/>
  <c r="I341" i="55" s="1"/>
  <c r="C51" i="55"/>
  <c r="E44" i="55"/>
  <c r="C358" i="55"/>
  <c r="D51" i="56"/>
  <c r="I89" i="65"/>
  <c r="I91" i="65" s="1"/>
  <c r="L91" i="65" s="1"/>
  <c r="D352" i="56"/>
  <c r="I53" i="55"/>
  <c r="I367" i="55" s="1"/>
  <c r="K53" i="55"/>
  <c r="K367" i="55" s="1"/>
  <c r="E367" i="55"/>
  <c r="E346" i="55"/>
  <c r="I32" i="55"/>
  <c r="I346" i="55" s="1"/>
  <c r="E35" i="55"/>
  <c r="V37" i="57"/>
  <c r="V341" i="57" s="1"/>
  <c r="E325" i="55"/>
  <c r="I13" i="55"/>
  <c r="I325" i="55" s="1"/>
  <c r="K30" i="58"/>
  <c r="K332" i="58" s="1"/>
  <c r="I45" i="55"/>
  <c r="I359" i="55" s="1"/>
  <c r="E359" i="55"/>
  <c r="I22" i="55"/>
  <c r="E334" i="55"/>
  <c r="I28" i="55"/>
  <c r="I340" i="55" s="1"/>
  <c r="E340" i="55"/>
  <c r="K28" i="55"/>
  <c r="K340" i="55" s="1"/>
  <c r="E47" i="55"/>
  <c r="D55" i="54"/>
  <c r="I8" i="65" s="1"/>
  <c r="J419" i="65"/>
  <c r="E353" i="55"/>
  <c r="K37" i="65"/>
  <c r="L37" i="65"/>
  <c r="L419" i="65"/>
  <c r="J37" i="65"/>
  <c r="P13" i="60"/>
  <c r="P318" i="60" s="1"/>
  <c r="R341" i="57"/>
  <c r="E92" i="65"/>
  <c r="J88" i="65"/>
  <c r="K88" i="65"/>
  <c r="I54" i="65"/>
  <c r="E47" i="65"/>
  <c r="L348" i="60"/>
  <c r="E409" i="65"/>
  <c r="B6" i="61"/>
  <c r="Y336" i="61"/>
  <c r="P43" i="60"/>
  <c r="P348" i="60" s="1"/>
  <c r="H348" i="60"/>
  <c r="E181" i="65"/>
  <c r="Z39" i="61"/>
  <c r="J46" i="65"/>
  <c r="K46" i="65"/>
  <c r="L46" i="65"/>
  <c r="D344" i="56"/>
  <c r="E59" i="65"/>
  <c r="G330" i="58"/>
  <c r="G30" i="58"/>
  <c r="C9" i="58" s="1"/>
  <c r="J70" i="65"/>
  <c r="K70" i="65"/>
  <c r="L70" i="65"/>
  <c r="X37" i="57"/>
  <c r="X318" i="57"/>
  <c r="D28" i="54"/>
  <c r="D338" i="54"/>
  <c r="J10" i="65"/>
  <c r="P22" i="60"/>
  <c r="P327" i="60" s="1"/>
  <c r="K74" i="65" l="1"/>
  <c r="F368" i="54"/>
  <c r="J74" i="65"/>
  <c r="I155" i="65"/>
  <c r="C15" i="58"/>
  <c r="E157" i="65"/>
  <c r="C311" i="58"/>
  <c r="L408" i="65"/>
  <c r="K41" i="55"/>
  <c r="K355" i="55" s="1"/>
  <c r="K49" i="55"/>
  <c r="K363" i="55" s="1"/>
  <c r="K33" i="55"/>
  <c r="K347" i="55" s="1"/>
  <c r="K14" i="55"/>
  <c r="K326" i="55" s="1"/>
  <c r="F5" i="54"/>
  <c r="E9" i="65"/>
  <c r="K9" i="65" s="1"/>
  <c r="G365" i="55"/>
  <c r="G55" i="55"/>
  <c r="K54" i="55"/>
  <c r="K368" i="55" s="1"/>
  <c r="K45" i="55"/>
  <c r="K359" i="55" s="1"/>
  <c r="K32" i="55"/>
  <c r="K346" i="55" s="1"/>
  <c r="K29" i="55"/>
  <c r="K341" i="55" s="1"/>
  <c r="I334" i="55"/>
  <c r="K22" i="55"/>
  <c r="K334" i="55" s="1"/>
  <c r="E328" i="55"/>
  <c r="K13" i="55"/>
  <c r="K325" i="55" s="1"/>
  <c r="E342" i="55"/>
  <c r="I30" i="55"/>
  <c r="I342" i="55" s="1"/>
  <c r="I328" i="55"/>
  <c r="K16" i="55"/>
  <c r="K328" i="55" s="1"/>
  <c r="K25" i="55"/>
  <c r="K337" i="55" s="1"/>
  <c r="D368" i="54"/>
  <c r="K91" i="65"/>
  <c r="J91" i="65"/>
  <c r="L60" i="65"/>
  <c r="J60" i="65"/>
  <c r="K60" i="65"/>
  <c r="J407" i="65"/>
  <c r="J406" i="65"/>
  <c r="I47" i="55"/>
  <c r="I361" i="55" s="1"/>
  <c r="E361" i="55"/>
  <c r="I44" i="55"/>
  <c r="I358" i="55" s="1"/>
  <c r="E358" i="55"/>
  <c r="E349" i="55"/>
  <c r="I35" i="55"/>
  <c r="I349" i="55" s="1"/>
  <c r="C55" i="55"/>
  <c r="E51" i="55"/>
  <c r="C365" i="55"/>
  <c r="D354" i="56"/>
  <c r="E62" i="65"/>
  <c r="L409" i="65"/>
  <c r="J409" i="65"/>
  <c r="X341" i="57"/>
  <c r="I64" i="65"/>
  <c r="E95" i="65"/>
  <c r="G332" i="58"/>
  <c r="E155" i="65"/>
  <c r="B28" i="54"/>
  <c r="B340" i="54" s="1"/>
  <c r="B27" i="54"/>
  <c r="B339" i="54" s="1"/>
  <c r="B26" i="54"/>
  <c r="B338" i="54" s="1"/>
  <c r="B25" i="54"/>
  <c r="B337" i="54" s="1"/>
  <c r="D340" i="54"/>
  <c r="D30" i="54"/>
  <c r="L422" i="65"/>
  <c r="J422" i="65"/>
  <c r="L59" i="65"/>
  <c r="J59" i="65"/>
  <c r="K59" i="65"/>
  <c r="J181" i="65"/>
  <c r="L181" i="65"/>
  <c r="K181" i="65"/>
  <c r="L54" i="65"/>
  <c r="K54" i="65"/>
  <c r="J54" i="65"/>
  <c r="J423" i="65"/>
  <c r="K423" i="65"/>
  <c r="L423" i="65"/>
  <c r="Z337" i="61"/>
  <c r="K50" i="65"/>
  <c r="J50" i="65"/>
  <c r="L50" i="65"/>
  <c r="L94" i="65"/>
  <c r="K94" i="65"/>
  <c r="J94" i="65"/>
  <c r="C17" i="58" l="1"/>
  <c r="C317" i="58"/>
  <c r="C31" i="58"/>
  <c r="C333" i="58" s="1"/>
  <c r="C35" i="58"/>
  <c r="C337" i="58" s="1"/>
  <c r="L157" i="65"/>
  <c r="J157" i="65"/>
  <c r="L9" i="65"/>
  <c r="J9" i="65"/>
  <c r="G57" i="55"/>
  <c r="G369" i="55"/>
  <c r="K35" i="55"/>
  <c r="K349" i="55" s="1"/>
  <c r="K47" i="55"/>
  <c r="K361" i="55" s="1"/>
  <c r="K44" i="55"/>
  <c r="K358" i="55" s="1"/>
  <c r="K30" i="55"/>
  <c r="K342" i="55" s="1"/>
  <c r="E55" i="55"/>
  <c r="E365" i="55"/>
  <c r="I51" i="55"/>
  <c r="I365" i="55" s="1"/>
  <c r="L62" i="65"/>
  <c r="J62" i="65"/>
  <c r="K62" i="65"/>
  <c r="C369" i="55"/>
  <c r="E30" i="65"/>
  <c r="I29" i="65"/>
  <c r="C57" i="55"/>
  <c r="C371" i="55" s="1"/>
  <c r="E8" i="65"/>
  <c r="D5" i="54"/>
  <c r="D342" i="54"/>
  <c r="J95" i="65"/>
  <c r="L95" i="65"/>
  <c r="K95" i="65"/>
  <c r="K155" i="65"/>
  <c r="J155" i="65"/>
  <c r="L155" i="65"/>
  <c r="L64" i="65"/>
  <c r="K64" i="65"/>
  <c r="J64" i="65"/>
  <c r="C319" i="58" l="1"/>
  <c r="C30" i="58"/>
  <c r="C332" i="58" s="1"/>
  <c r="G371" i="55"/>
  <c r="I14" i="65"/>
  <c r="K51" i="55"/>
  <c r="K365" i="55" s="1"/>
  <c r="K29" i="65"/>
  <c r="L29" i="65"/>
  <c r="J29" i="65"/>
  <c r="J30" i="65"/>
  <c r="K30" i="65"/>
  <c r="L30" i="65"/>
  <c r="E369" i="55"/>
  <c r="E57" i="55"/>
  <c r="I55" i="55"/>
  <c r="K55" i="55" s="1"/>
  <c r="K369" i="55" s="1"/>
  <c r="J8" i="65"/>
  <c r="K8" i="65"/>
  <c r="L8" i="65"/>
  <c r="L14" i="65" l="1"/>
  <c r="J14" i="65"/>
  <c r="K14" i="65"/>
  <c r="E371" i="55"/>
  <c r="I369" i="55"/>
  <c r="I57" i="55"/>
  <c r="I371" i="55" s="1"/>
  <c r="K57" i="55" l="1"/>
  <c r="K371" i="55" s="1"/>
</calcChain>
</file>

<file path=xl/comments1.xml><?xml version="1.0" encoding="utf-8"?>
<comments xmlns="http://schemas.openxmlformats.org/spreadsheetml/2006/main">
  <authors>
    <author>nehamap</author>
  </authors>
  <commentList>
    <comment ref="G26" authorId="0">
      <text>
        <r>
          <rPr>
            <sz val="11"/>
            <color indexed="81"/>
            <rFont val="Arial"/>
            <family val="2"/>
            <charset val="177"/>
          </rPr>
          <t>בשדה זה יש להקליד את קוד ביקורת הטעינה שנשלחה בדואר האלקטרוני יחד עם הודעת האישור על טעינת המסמך במשרד הפנים</t>
        </r>
        <r>
          <rPr>
            <sz val="8"/>
            <color indexed="81"/>
            <rFont val="Tahoma"/>
            <charset val="177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nehamap</author>
  </authors>
  <commentList>
    <comment ref="M7" authorId="0">
      <text>
        <r>
          <rPr>
            <sz val="11"/>
            <color indexed="81"/>
            <rFont val="Arial (Hebrew)"/>
            <family val="2"/>
            <charset val="177"/>
          </rPr>
          <t>הוספת הערה ע"י  הגזבר עבור המנהל לתקצוב ופיתוח. כל התאים בעמודה זמינים להקלדה חופשית</t>
        </r>
        <r>
          <rPr>
            <sz val="8"/>
            <color indexed="81"/>
            <rFont val="Tahoma"/>
            <charset val="177"/>
          </rPr>
          <t xml:space="preserve">
</t>
        </r>
      </text>
    </comment>
    <comment ref="G54" authorId="0">
      <text>
        <r>
          <rPr>
            <sz val="11"/>
            <color indexed="81"/>
            <rFont val="Arial"/>
            <family val="2"/>
            <charset val="177"/>
          </rPr>
          <t>סה"כ שכר אינו כולל את הסעיפים:</t>
        </r>
        <r>
          <rPr>
            <sz val="8"/>
            <color indexed="81"/>
            <rFont val="Tahoma"/>
            <charset val="177"/>
          </rPr>
          <t xml:space="preserve">
1. </t>
        </r>
        <r>
          <rPr>
            <sz val="11"/>
            <color indexed="81"/>
            <rFont val="Arial"/>
            <family val="2"/>
            <charset val="177"/>
          </rPr>
          <t xml:space="preserve">חינוך
2. רווחה
3. תחבורה
</t>
        </r>
      </text>
    </comment>
  </commentList>
</comments>
</file>

<file path=xl/comments3.xml><?xml version="1.0" encoding="utf-8"?>
<comments xmlns="http://schemas.openxmlformats.org/spreadsheetml/2006/main">
  <authors>
    <author>NehamaP</author>
    <author>nehamap</author>
  </authors>
  <commentList>
    <comment ref="G7" authorId="0">
      <text>
        <r>
          <rPr>
            <sz val="12"/>
            <color indexed="81"/>
            <rFont val="Arial"/>
            <family val="2"/>
            <charset val="177"/>
          </rPr>
          <t xml:space="preserve">יש לקבוע אם נתוני שנה קודמת מבוקרים בגליון </t>
        </r>
        <r>
          <rPr>
            <u/>
            <sz val="12"/>
            <color indexed="81"/>
            <rFont val="Arial"/>
            <family val="2"/>
            <charset val="177"/>
          </rPr>
          <t>הגדרות כלליות</t>
        </r>
        <r>
          <rPr>
            <sz val="8"/>
            <color indexed="81"/>
            <rFont val="Tahoma"/>
            <charset val="177"/>
          </rPr>
          <t xml:space="preserve">
</t>
        </r>
      </text>
    </comment>
    <comment ref="D59" authorId="1">
      <text>
        <r>
          <rPr>
            <sz val="11"/>
            <color indexed="81"/>
            <rFont val="Arial"/>
            <family val="2"/>
            <charset val="177"/>
          </rPr>
          <t xml:space="preserve">כאשר אין נתון יש להקליד </t>
        </r>
        <r>
          <rPr>
            <u/>
            <sz val="11"/>
            <color indexed="81"/>
            <rFont val="Arial"/>
            <family val="2"/>
            <charset val="177"/>
          </rPr>
          <t>בשדה זה בלבד</t>
        </r>
        <r>
          <rPr>
            <sz val="11"/>
            <color indexed="81"/>
            <rFont val="Arial"/>
            <family val="2"/>
            <charset val="177"/>
          </rPr>
          <t xml:space="preserve"> את המילה "ריק"
</t>
        </r>
      </text>
    </comment>
    <comment ref="F59" authorId="1">
      <text>
        <r>
          <rPr>
            <sz val="11"/>
            <color indexed="81"/>
            <rFont val="Arial"/>
            <family val="2"/>
            <charset val="177"/>
          </rPr>
          <t xml:space="preserve">כאשר אין נתון יש להקליד </t>
        </r>
        <r>
          <rPr>
            <u/>
            <sz val="11"/>
            <color indexed="81"/>
            <rFont val="Arial"/>
            <family val="2"/>
            <charset val="177"/>
          </rPr>
          <t>בשדה זה בלבד</t>
        </r>
        <r>
          <rPr>
            <sz val="11"/>
            <color indexed="81"/>
            <rFont val="Arial"/>
            <family val="2"/>
            <charset val="177"/>
          </rPr>
          <t xml:space="preserve"> את המילה "ריק"</t>
        </r>
        <r>
          <rPr>
            <sz val="8"/>
            <color indexed="81"/>
            <rFont val="Tahoma"/>
            <charset val="177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nehamap</author>
  </authors>
  <commentList>
    <comment ref="H49" authorId="0">
      <text>
        <r>
          <rPr>
            <sz val="11"/>
            <color indexed="81"/>
            <rFont val="Arial"/>
            <family val="2"/>
            <charset val="177"/>
          </rPr>
          <t>לא רלוונטי</t>
        </r>
        <r>
          <rPr>
            <sz val="8"/>
            <color indexed="81"/>
            <rFont val="Tahoma"/>
            <charset val="177"/>
          </rPr>
          <t xml:space="preserve">
</t>
        </r>
      </text>
    </comment>
    <comment ref="N49" authorId="0">
      <text>
        <r>
          <rPr>
            <sz val="11"/>
            <color indexed="81"/>
            <rFont val="Arial"/>
            <family val="2"/>
            <charset val="177"/>
          </rPr>
          <t>לא רלוונטי</t>
        </r>
        <r>
          <rPr>
            <sz val="8"/>
            <color indexed="81"/>
            <rFont val="Tahoma"/>
            <charset val="177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יצחק שילוח</author>
  </authors>
  <commentList>
    <comment ref="B7" authorId="0">
      <text>
        <r>
          <rPr>
            <sz val="11"/>
            <color indexed="81"/>
            <rFont val="Arial"/>
            <family val="2"/>
            <charset val="177"/>
          </rPr>
          <t>יש להקליד את תיאור התפקיד בעמודה זו: מנהל מחלקת חינוך, רכז ביטחון וכד'</t>
        </r>
        <r>
          <rPr>
            <sz val="8"/>
            <color indexed="81"/>
            <rFont val="Tahoma"/>
            <charset val="177"/>
          </rPr>
          <t xml:space="preserve">
</t>
        </r>
      </text>
    </comment>
    <comment ref="D7" authorId="0">
      <text>
        <r>
          <rPr>
            <sz val="11"/>
            <color indexed="81"/>
            <rFont val="Arial"/>
            <family val="2"/>
            <charset val="177"/>
          </rPr>
          <t>יש להזין נתון מספרי בלבד - אין להקליד תוים שאינם ספרות.</t>
        </r>
        <r>
          <rPr>
            <sz val="8"/>
            <color indexed="81"/>
            <rFont val="Tahoma"/>
            <charset val="177"/>
          </rPr>
          <t xml:space="preserve">
</t>
        </r>
      </text>
    </comment>
    <comment ref="F7" authorId="0">
      <text>
        <r>
          <rPr>
            <sz val="11"/>
            <color indexed="81"/>
            <rFont val="Arial"/>
            <family val="2"/>
            <charset val="177"/>
          </rPr>
          <t>יש להזין נתון מספרי בלבד - אין להקליד תוים שאינם ספרות.</t>
        </r>
        <r>
          <rPr>
            <sz val="8"/>
            <color indexed="81"/>
            <rFont val="Tahoma"/>
            <charset val="177"/>
          </rPr>
          <t xml:space="preserve">
</t>
        </r>
      </text>
    </comment>
    <comment ref="H7" authorId="0">
      <text>
        <r>
          <rPr>
            <sz val="11"/>
            <color indexed="81"/>
            <rFont val="Arial"/>
            <family val="2"/>
            <charset val="177"/>
          </rPr>
          <t>יש להזין נתון מספרי בלבד - אין להקליד תוים שאינם ספרות.</t>
        </r>
        <r>
          <rPr>
            <sz val="8"/>
            <color indexed="81"/>
            <rFont val="Tahoma"/>
            <charset val="177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<sst xmlns="http://schemas.openxmlformats.org/spreadsheetml/2006/main" count="1881" uniqueCount="993">
  <si>
    <t>הנחות מארנונה (הוצאות)</t>
  </si>
  <si>
    <t>גרעונות בתקציב הרגיל והבלתי רגיל</t>
  </si>
  <si>
    <t>מוסדות שכר - הוצאות מתוקצבות שטרם שולמו</t>
  </si>
  <si>
    <t>ספקים וזכאים (*) - הוצאות מתוקצבות שטרם שולמו</t>
  </si>
  <si>
    <t>פירוט מקורות מימון לכסוי הגרעון בתקציב הרגיל (1)</t>
  </si>
  <si>
    <t>קרנות / הפחתת חובות ספקים בהסדר</t>
  </si>
  <si>
    <t xml:space="preserve">(*) מתוך זה הפרשה בגין תביעות תלויות  </t>
  </si>
  <si>
    <t>הנחות ופטורים (במינוס)</t>
  </si>
  <si>
    <t>מחיקת חובות בתקופת הדוח (במינוס)</t>
  </si>
  <si>
    <t>הנחות בארנונה (הכנסות) גבוהות מההנחות בארנונה (הוצאות)</t>
  </si>
  <si>
    <t>הנחות, פטורים וזיכויים (שוטף)</t>
  </si>
  <si>
    <t>הנחות, פטורים וזיכויים (פיגורים)</t>
  </si>
  <si>
    <t>ההנחות בארנונה בביצוע התקציב גבוהות מהרשום בדוח הגביה</t>
  </si>
  <si>
    <t>שכר ומשרות</t>
  </si>
  <si>
    <t>סה"כ עלויות שכר כללי</t>
  </si>
  <si>
    <t>סה"כ הוצאות שכר ביצוע מצטבר בטופס 2 שונה מסה"כ כללי עלות בפועל לתקופה בטופס 7</t>
  </si>
  <si>
    <t>חסרים נתוני פרעון מלוות ביוב</t>
  </si>
  <si>
    <t>חסרים נתוני פרעון מלוות רגיל</t>
  </si>
  <si>
    <t>המענק לכיסוי גירעון בצד ההכנסות גדול מההוצאה לכיסוי גירעון בצד ההוצאות</t>
  </si>
  <si>
    <t>טופס 3</t>
  </si>
  <si>
    <t>תב"רים</t>
  </si>
  <si>
    <t>עודף (גרעון) תקופת הדוח</t>
  </si>
  <si>
    <t>חסרים נתוני עודף (גרעון) בתב"ר בתקופת הדוח</t>
  </si>
  <si>
    <t>חסרים נתוני עודף (גרעון) בתב"ר בשנה קודמת</t>
  </si>
  <si>
    <t>יתרות זמניות נטו לסוף השנה</t>
  </si>
  <si>
    <t>עודף (גרעון) נטו בתקופת הדוח שונה מסה"כ הרכב היתרה בתקופת הדוח</t>
  </si>
  <si>
    <t>עודף (גרעון) נטו שנה קודמת שונה מסה"כ הרכב היתרה בשנה הקודמת</t>
  </si>
  <si>
    <t>עודף (גרעון) נטו מצטבר</t>
  </si>
  <si>
    <t>עודף (גרעון) נטו בתקופת הדוח שונה מעודף (גרעון) נטו מצטבר של סה"כ התב"רים בטופס 4.</t>
  </si>
  <si>
    <t>תקבולים לתחילת השנה</t>
  </si>
  <si>
    <t>תקבולים לסוף השנה</t>
  </si>
  <si>
    <t>תקבולים לתחילת שנה שונים מתקבולים לסוף שנה קודמת</t>
  </si>
  <si>
    <t>תשלומים לתחילת השנה</t>
  </si>
  <si>
    <t>תשלומים לסוף השנה</t>
  </si>
  <si>
    <t>תשלומים לתחילת שנה שונים מתשלומים לסוף שנה קודמת</t>
  </si>
  <si>
    <t>ניכוי השקעות בפרוייקטים שנסגרו (תקבולים)</t>
  </si>
  <si>
    <t>סך התקבולים לתקופת הדוח שונים מהנתונים המצטברים</t>
  </si>
  <si>
    <t>ניכוי השקעות בפרוייקטים שנסגרו (תשלומים)</t>
  </si>
  <si>
    <t>סך התשלומים לתקופת הדוח שונים מהנתונים המצטברים</t>
  </si>
  <si>
    <t>סך התקבולים לשנה הקודמת שונים מהנתונים המצטברים</t>
  </si>
  <si>
    <t>סך התשלומים לשנה הקודמת שונים מהנתונים המצטברים</t>
  </si>
  <si>
    <t>טופס 4</t>
  </si>
  <si>
    <t>ריכוז תב"רים</t>
  </si>
  <si>
    <t>סה"כ ביצוע שנה קודמת הכנסות</t>
  </si>
  <si>
    <t>סה"כ ביצוע שנה קודמת בטופס 4 אינו תואם לתקבולים לסוף השנה בשנה הקודמת בטופס 3</t>
  </si>
  <si>
    <t>סה"כ ביצוע שנה קודמת הוצאות</t>
  </si>
  <si>
    <t>סה"כ ביצוע הוצאות שנה קודמת  בטופס 4 אינו תואם לתשלומים לסוף השנה בשנה הקודמת בטופס 3</t>
  </si>
  <si>
    <t>ביצוע שנה נוכחית הכנסות</t>
  </si>
  <si>
    <t>סה"כ ביצוע שנה נוכחית  בטופס 4 אינו תואם לתקבולים לסוף השנה בשנה הנוכחית בטופס 3</t>
  </si>
  <si>
    <t>ביצוע שנה נוכחית הוצאות</t>
  </si>
  <si>
    <t>סה"כ ביצוע הוצאות שנה נוכחית בטופס 4 אינו תואם לתשלומים לסוף השנה בשנה הנוכחית בטופס 3</t>
  </si>
  <si>
    <t>סה"כ ביצוע מצטבר הכנסות בטופס 4 אינו תואם לתקבולים לסוף השנה+תקבולים בגין פרוייקטים שנסגרו בטופס 3</t>
  </si>
  <si>
    <t>תשלומים - בניכוי פרוייקטים שנסגרו</t>
  </si>
  <si>
    <t>סה"כ ביצוע מצטבר הוצאות בטופס 4 אינו תואם לתשלומים לסוף השנה+תשלומים בגין פרוייקטים שנסגרו בטופס 3</t>
  </si>
  <si>
    <t>סה"כ ביצוע מצטבר עודף (גרעון) נטו</t>
  </si>
  <si>
    <t>סה"כ ביצוע מצטבר עודף (גרעון) נטו בטופס 4 אינו תואם לעודף (גרעון) נטו בטופס 3</t>
  </si>
  <si>
    <t>סה"כ תב"רים  (61)</t>
  </si>
  <si>
    <t>חסרים נתוני מספר תב"רים</t>
  </si>
  <si>
    <t>סה"כ תב"רים   (62)</t>
  </si>
  <si>
    <t>סה"כ תב"רים   (63)</t>
  </si>
  <si>
    <t>סה"כ תב"רים   (64)</t>
  </si>
  <si>
    <t>סה"כ תב"רים   (71)</t>
  </si>
  <si>
    <t>סה"כ תב"רים   (72)</t>
  </si>
  <si>
    <t>סה"כ תב"רים   (73)</t>
  </si>
  <si>
    <t>סה"כ תב"רים   (74)</t>
  </si>
  <si>
    <t>סה"כ תב"רים   (75)</t>
  </si>
  <si>
    <t>סה"כ תב"רים  (76)</t>
  </si>
  <si>
    <t>סה"כ תב"רים   (77)</t>
  </si>
  <si>
    <t>סה"כ תב"רים   (78)</t>
  </si>
  <si>
    <t>סה"כ תב"רים   (79)</t>
  </si>
  <si>
    <t>סה"כ תב"רים   (81)</t>
  </si>
  <si>
    <t>גימלאים (ביצוע)</t>
  </si>
  <si>
    <t>סה"כ תב"רים   (82)</t>
  </si>
  <si>
    <t>סה"כ תב"רים   (83)</t>
  </si>
  <si>
    <t>סה"כ תב"רים  (84)</t>
  </si>
  <si>
    <t>סה"כ תב"רים   (85)</t>
  </si>
  <si>
    <t>סה"כ תב"רים   (86)</t>
  </si>
  <si>
    <t>סה"כ תב"רים   (87)</t>
  </si>
  <si>
    <t>סה"כ תב"רים   (91)</t>
  </si>
  <si>
    <t>סה"כ תב"רים   (92)</t>
  </si>
  <si>
    <t>סה"כ תב"רים   (93)</t>
  </si>
  <si>
    <t>סה"כ תב"רים   (94)</t>
  </si>
  <si>
    <t>סה"כ תב"רים   (95)</t>
  </si>
  <si>
    <t>סה"כ תב"רים   (96)</t>
  </si>
  <si>
    <t>סה"כ תב"רים   (97)</t>
  </si>
  <si>
    <t>סה"כ תב"רים   (98)</t>
  </si>
  <si>
    <t>סה"כ תב"רים   (99)</t>
  </si>
  <si>
    <t>התקציב המאושר  (61)</t>
  </si>
  <si>
    <t>חסרים נתוני התקציב המאושר</t>
  </si>
  <si>
    <t>התקציב המאושר   (62)</t>
  </si>
  <si>
    <t>התקציב המאושר   (63)</t>
  </si>
  <si>
    <t>התקציב המאושר   (64)</t>
  </si>
  <si>
    <t>התקציב המאושר   (71)</t>
  </si>
  <si>
    <t>התקציב המאושר   (72)</t>
  </si>
  <si>
    <t>התקציב המאושר   (73)</t>
  </si>
  <si>
    <t>התקציב המאושר   (74)</t>
  </si>
  <si>
    <t>התקציב המאושר   (75)</t>
  </si>
  <si>
    <t>התקציב המאושר  (76)</t>
  </si>
  <si>
    <t>התקציב המאושר   (77)</t>
  </si>
  <si>
    <t>התקציב המאושר   (78)</t>
  </si>
  <si>
    <t>התקציב המאושר   (79)</t>
  </si>
  <si>
    <t>התקציב המאושר   (81)</t>
  </si>
  <si>
    <t>התקציב המאושר   (82)</t>
  </si>
  <si>
    <t>התקציב המאושר   (83)</t>
  </si>
  <si>
    <t>התקציב המאושר  (84)</t>
  </si>
  <si>
    <t>התקציב המאושר   (85)</t>
  </si>
  <si>
    <t>התקציב המאושר   (86)</t>
  </si>
  <si>
    <t>התקציב המאושר   (87)</t>
  </si>
  <si>
    <t>התקציב המאושר   (91)</t>
  </si>
  <si>
    <t>התקציב המאושר   (92)</t>
  </si>
  <si>
    <t>התקציב המאושר   (93)</t>
  </si>
  <si>
    <t>התקציב המאושר   (94)</t>
  </si>
  <si>
    <t>התקציב המאושר  (95)</t>
  </si>
  <si>
    <t>התקציב המאושר  (96)</t>
  </si>
  <si>
    <t>התקציב המאושר   (97)</t>
  </si>
  <si>
    <t>התקציב המאושר   (98)</t>
  </si>
  <si>
    <t>התקציב המאושר   (99)</t>
  </si>
  <si>
    <t>טופס 5</t>
  </si>
  <si>
    <t>גביה וחייבים</t>
  </si>
  <si>
    <t>סה"כ יתרת פיגורים - ארנונה (שנה קודמת)</t>
  </si>
  <si>
    <t>יתרת פיגורים ריאלית לתחילת שנה ארנונה</t>
  </si>
  <si>
    <t>יתרה ריאלית לתחילת שנה אינה תואמת את יתרת הפיגורים הכוללת לסוף השנה הקודמת</t>
  </si>
  <si>
    <t>חיוב תקופתי שוטף ריאלי מצטבר - ארנונה</t>
  </si>
  <si>
    <t>ארנונה</t>
  </si>
  <si>
    <t>סה"כ חיוב באלפי ש"ח (מצטבר לרבעון הנוכחי)</t>
  </si>
  <si>
    <t>חיוב תקופתי שוטף ריאלי מצטבר קטן מסה"כ חיוב ארנונה ראשוני עד רבעון זה</t>
  </si>
  <si>
    <t>יתרת פיגורים ריאלית לתחילת שנה - ארנונה</t>
  </si>
  <si>
    <t>חסרים נתוני שנה נוכחית ליתרה ריאלית לתחילת השנה - ארנונה</t>
  </si>
  <si>
    <t>חיוב  תקופתי שוטף ריאלי מצטבר - ארנונה</t>
  </si>
  <si>
    <t>חסרים נתוני שנה נוכחית לחיוב תקופתי שוטף ריאלי מצטבר - ארנונה</t>
  </si>
  <si>
    <t>גביה שוטפת - ארנונה</t>
  </si>
  <si>
    <t>חסרים נתוני שנה נוכחית לגביה שוטפת - ארנונה</t>
  </si>
  <si>
    <t>חסרים נתוני שנה נוכחית לגביה בגין פיגורים - ארנונה</t>
  </si>
  <si>
    <t>חיוב / זיכוי נוסף - ארנונה</t>
  </si>
  <si>
    <t>חסרים נתוני שנה נוכחית לחיוב / זיכוי נוסף ארנונה</t>
  </si>
  <si>
    <t>חיובים במהלך התקופה כולל ריבית והצמדה - ארנונה (פיגורים)</t>
  </si>
  <si>
    <t>חסרים נתוני שנה נוכחית לחיובים במהלך התקופה כולל ריבית והצמדה - ארנונה</t>
  </si>
  <si>
    <t>חיוב / זיכוי נוסף כולל ריבית והצמדה - ארנונה (שוטף)</t>
  </si>
  <si>
    <t>חסרים נתוני שנה נוכחית לחיוב / זיכוי נוסף כולל ריבית והצמדה - ארנונה (שוטף)</t>
  </si>
  <si>
    <t>הנחות, פטורים, זיכויים ומחיקת חובות - ארנונה (שוטף)</t>
  </si>
  <si>
    <t>חסרים נתוני שנה נוכחית להנחות, פטורים, זיכויים ומחיקת חובות - ארנונה (שוטף)</t>
  </si>
  <si>
    <t>יתרה ריאלית לתחילת שנה - ארנונה</t>
  </si>
  <si>
    <t>חסרים נתוני רבעון מקביל ליתרה ריאלית לתחילת השנה - ארנונה</t>
  </si>
  <si>
    <t>חסרים נתוני רבעון מקביל לחיוב תקופתי שוטף ריאלי מצטבר - ארנונה</t>
  </si>
  <si>
    <t>חסרים נתוני רבעון מקביל לגביה שוטפת - ארנונה</t>
  </si>
  <si>
    <t>חסרים נתוני רבעון מקביל לגביה בגין פיגורים - ארנונה</t>
  </si>
  <si>
    <t>חסרים נתוני רבעון מקביל לחיוב / זיכוי נוסף ארנונה</t>
  </si>
  <si>
    <t>חסרים נתוני רבעון מקביל לחיובים במהלך התקופה כולל ריבית והצמדה - ארנונה</t>
  </si>
  <si>
    <t>חסרים נתוני רבעון מקביל לחיוב / זיכוי נוסף כולל ריבית והצמדה - ארנונה (שוטף)</t>
  </si>
  <si>
    <t>חסרים נתוני רבעון מקביל להנחות, פטורים, זיכויים ומחיקת חובות - ארנונה (שוטף)</t>
  </si>
  <si>
    <t>חסרים נתוני סה"כ שנה קודמת ליתרה ריאלית לתחילת השנה - ארנונה</t>
  </si>
  <si>
    <t>חסרים נתוני סה"כ שנה קודמת לחיוב תקופתי שוטף ריאלי מצטבר - ארנונה</t>
  </si>
  <si>
    <t>גבייה שוטפת - ארנונה</t>
  </si>
  <si>
    <t>חסרים נתוני סה"כ שנה קודמת לגביה שוטפת - ארנונה</t>
  </si>
  <si>
    <t>גבייה בגין פיגורים - ארנונה</t>
  </si>
  <si>
    <t>חסרים נתוני סה"כ שנה קודמת לגביה בגין פיגורים - ארנונה</t>
  </si>
  <si>
    <t>חסרים נתוני סה"כ שנה קודמת לחיוב / זיכוי נוסף ארנונה</t>
  </si>
  <si>
    <t>חסרים נתוני סה"כ שנה קודמת לחיובים במהלך התקופה כולל ריבית והצמדה - ארנונה</t>
  </si>
  <si>
    <t>חסרים נתוני סה"כ שנה קודמת לחיוב / זיכוי נוסף כולל ריבית והצמדה - ארנונה (שוטף)</t>
  </si>
  <si>
    <t>חסרים נתוני סה"כ שנה קודמת להנחות, פטורים, זיכויים ומחיקת חובות - ארנונה (שוטף)</t>
  </si>
  <si>
    <t>סה"כ יתרת פיגורים - מים (שנה קודמת)</t>
  </si>
  <si>
    <t>יתרת פיגורים ריאלית לתחילת שנה - מים</t>
  </si>
  <si>
    <t>יתרה ריאלית לתחילת שנה אינה תואמת את יתרת הפיגורים לסוף השנה הקודמת</t>
  </si>
  <si>
    <t>חסרים נתוני יתרת פיגורים ריאלית לתחילת שנה - מים שנה נוכחית</t>
  </si>
  <si>
    <t>חיוב / זיכוי נוסף - מים</t>
  </si>
  <si>
    <t>חסרים נתוני חיוב / זיכוי נוסף - מים שנה נוכחית</t>
  </si>
  <si>
    <t>העברה לחובות מסופקים - מים</t>
  </si>
  <si>
    <t>חסרים נתוני העברה לחובות מסופקים - מים שנה נוכחית</t>
  </si>
  <si>
    <t>חיובים במהלך התקופה כולל ריבית והצמדה - מים</t>
  </si>
  <si>
    <t>חסרים נתוני חיובים במהלך התקופה כולל ריבית והצמדה - מים שנה נוכחית</t>
  </si>
  <si>
    <t>הנחות, פטורים, זיכויים ומחיקת חובות פיגורים- מים</t>
  </si>
  <si>
    <t>חסרים נתוני הנחות, פטורים, זיכויים ומחיקת חובות פיגורים - מים שנה נוכחית</t>
  </si>
  <si>
    <t>גבייה בגין פיגורים - מים</t>
  </si>
  <si>
    <t>חסרים נתוני גבייה בגין פיגורים - מים שנה נוכחית</t>
  </si>
  <si>
    <t>חיוב תקופתי שוטף מצטבר- מים</t>
  </si>
  <si>
    <t>חסרים נתוני חיוב תקופתי שוטף מצטבר - מים שנה נוכחית</t>
  </si>
  <si>
    <t>חיוב / זיכוי נוסף כולל ריבית והצמדה - מים</t>
  </si>
  <si>
    <t>חסרים נתוני חיוב / זיכוי נוסף כולל ריבית והצמדה - מים שנה נוכחית</t>
  </si>
  <si>
    <t>הנחות, פטורים, זיכויים ומחיקת חובות שוטף - מים</t>
  </si>
  <si>
    <t>חסרים נתוני הנחות, פטורים, זיכויים ומחיקת חובות שוטף - מים שנה נוכחית</t>
  </si>
  <si>
    <t>גבייה מראש לשנה - מים</t>
  </si>
  <si>
    <t>רכישת שרותי כוח אדם</t>
  </si>
  <si>
    <t>הפרש עלויות</t>
  </si>
  <si>
    <t>יועצים חיצוניים</t>
  </si>
  <si>
    <t>שירותי כוח אדם מקבלן כ"א</t>
  </si>
  <si>
    <t>מספר מועסקים</t>
  </si>
  <si>
    <t>עלות כוללת</t>
  </si>
  <si>
    <t>מספר שעות העסקה</t>
  </si>
  <si>
    <t>סה"כ כללי עלות שכר תקציב</t>
  </si>
  <si>
    <t>סה"כ כללי עלות שכר ביצוע</t>
  </si>
  <si>
    <t>חסרים נתוני גבייה מראש לשנה - מים שנה נוכחית</t>
  </si>
  <si>
    <t>גבייה שוטפת - מים</t>
  </si>
  <si>
    <t>חסרים נתוני גבייה שוטפת - מים שנה נוכחית</t>
  </si>
  <si>
    <t>חסרים נתוני יתרת פיגורים ריאלית לתחילת שנה - מים שנה קודמת</t>
  </si>
  <si>
    <t>חסרים נתוני חיוב / זיכוי נוסף - מים שנה קודמת</t>
  </si>
  <si>
    <t>חסרים נתוני העברה לחובות מסופקים - מים שנה קודמת</t>
  </si>
  <si>
    <t>חסרים נתוני חיובים במהלך התקופה כולל ריבית והצמדה - מים שנה קודמת</t>
  </si>
  <si>
    <t>חסרים נתוני הנחות, פטורים, זיכויים ומחיקת חובות פיגורים - מים שנה קודמת</t>
  </si>
  <si>
    <t>חסרים נתוני גבייה בגין פיגורים - מים שנה קודמת</t>
  </si>
  <si>
    <t>חסרים נתוני חיוב תקופתי שוטף מצטבר - מים שנה קודמת</t>
  </si>
  <si>
    <t>חסרים נתוני חיוב / זיכוי נוסף כולל ריבית והצמדה - מים שנה קודמת</t>
  </si>
  <si>
    <t>כמות מים שנתית מאושרת</t>
  </si>
  <si>
    <t>חסרים נתוני פחת מים שנה קודמת</t>
  </si>
  <si>
    <t>כמות מים שנרכשה / הופקה</t>
  </si>
  <si>
    <t>כמות מים שנמכרה / חויבה</t>
  </si>
  <si>
    <t>סה"כ כמות מים שנתית מאושרת</t>
  </si>
  <si>
    <t>חסרים נתוני סה"כ פחת מים שנה קודמת</t>
  </si>
  <si>
    <t>סה"כ כמות מים שנרכשה / הופקה</t>
  </si>
  <si>
    <t>סה"כ כמות מים שנמכרה / חויבה</t>
  </si>
  <si>
    <t>כמות מים שנתית מאושרת עד רבעון זה</t>
  </si>
  <si>
    <t>חסרים נתוני פחת מים שנה נוכחית</t>
  </si>
  <si>
    <t>כמות מים שנרכשה / הופקה עד רבעון זה</t>
  </si>
  <si>
    <t>כמות מים שנמכרה / חויבה עד רבעון זה</t>
  </si>
  <si>
    <t>טופס 6</t>
  </si>
  <si>
    <t>תעריף שחויב מקסימום - מבנה מגורים</t>
  </si>
  <si>
    <t>חסרים נתוני תעריף מקסימום למבנה מגורים</t>
  </si>
  <si>
    <t>תעריף שחויב מקסימום - משרדים, שירותים ומסחר</t>
  </si>
  <si>
    <t>חסרים נתוני תעריף מקסימום למשרדים, שירותים ומסחר</t>
  </si>
  <si>
    <t>תעריף שחויב מקסימום - בנקים</t>
  </si>
  <si>
    <t>חסרים נתוני תעריף מקסימום לבנקים</t>
  </si>
  <si>
    <t>תעריף שחויב מקסימום - תעשיה</t>
  </si>
  <si>
    <t>חסרים נתוני תעריף מקסימום לתעשיה</t>
  </si>
  <si>
    <t>תעריף שחויב מקסימום - בתי מלון</t>
  </si>
  <si>
    <t>חסרים נתוני תעריף מקסימום לבתי מלון</t>
  </si>
  <si>
    <t>תעריף שחויב מקסימום - מלאכה</t>
  </si>
  <si>
    <t>חסרים נתוני תעריף מקסימום מלאכה</t>
  </si>
  <si>
    <t>תעריף שחויב מקסימום - אדמה חקלאית</t>
  </si>
  <si>
    <t>חסרים נתוני תעריף מקסימום לאדמה חלקאית</t>
  </si>
  <si>
    <t>תעריף שחויב מקסימום - קרקע תפוסה</t>
  </si>
  <si>
    <t>חסרים נתוני תעריף מקסימום לקרקע תפוסה</t>
  </si>
  <si>
    <t>תעריף שחויב מקסימום - קרקע במפעל עתיר שטח</t>
  </si>
  <si>
    <t>חסרים נתוני תעריף מקסימום לקרקע במפעל עתיר שטח</t>
  </si>
  <si>
    <t>תעריף שחויב מקסימום - חניונים</t>
  </si>
  <si>
    <t>חסרים נתוני תעריף מקסימום לחניונים</t>
  </si>
  <si>
    <t>תעריף שחויב מקסימום - מבנה חקלאי</t>
  </si>
  <si>
    <t>חסרים נתוני תעריף מקסימום למבנה חקלאי</t>
  </si>
  <si>
    <t>תעריף שחויב מקסימום - נכסי מדינה</t>
  </si>
  <si>
    <t>חסרים נתוני תעריף מקסימום לנכסי מדינה</t>
  </si>
  <si>
    <t>תעריף שחויב מקסימום - נכסים אחרים</t>
  </si>
  <si>
    <t>חסרים נתוני תעריף מקסימום לנכסים אחרים</t>
  </si>
  <si>
    <t>תעריף שחויב מקסימום - בניכוי/תוספת חיוב ארנונה בגין אזורי תעשייה משותפים</t>
  </si>
  <si>
    <t>חסרים נתוני תעריף מקסימום לסעיף בניכוי/תוספת חיוב ארנונה בגין אזורי תעשייה משותפים</t>
  </si>
  <si>
    <t>תעריף שחויב מינימום - מבנה מגורים</t>
  </si>
  <si>
    <t>חסרים נתוני תעריף מינימום למבנה מגורים</t>
  </si>
  <si>
    <t>תעריף שחויב מינימום - משרדים, שירותים ומסחר</t>
  </si>
  <si>
    <t>חסרים נתוני תעריף מינימום למשרדים, שירותים ומסחר</t>
  </si>
  <si>
    <t>תעריף שחויב מינימום - בנקים</t>
  </si>
  <si>
    <t>חסרים נתוני תעריף מינימום לבנקים</t>
  </si>
  <si>
    <t>תעריף שחויב מינימום - תעשיה</t>
  </si>
  <si>
    <t>חסרים נתוני תעריף מינימום לתעשיה</t>
  </si>
  <si>
    <t>תעריף שחויב מינימום - בתי מלון</t>
  </si>
  <si>
    <t>חסרים נתוני תעריף מינימום לבתי מלון</t>
  </si>
  <si>
    <t>תעריף שחויב מינימום - מלאכה</t>
  </si>
  <si>
    <t>חסרים נתוני תעריף מינימום מלאכה</t>
  </si>
  <si>
    <t>תעריף שחויב מינימום - אדמה חקלאית</t>
  </si>
  <si>
    <t>חסרים נתוני תעריף מינימום לאדמה חלקאית</t>
  </si>
  <si>
    <t>תעריף שחויב מינימום - קרקע תפוסה</t>
  </si>
  <si>
    <t>חסרים נתוני תעריף מינימום לקרקע תפוסה</t>
  </si>
  <si>
    <t>תעריף שחויב מינימום - קרקע במפעל עתיר שטח</t>
  </si>
  <si>
    <t>חסרים נתוני תעריף מינימום לקרקע במפעל עתיר שטח</t>
  </si>
  <si>
    <t>תעריף שחויב מינימום - חניונים</t>
  </si>
  <si>
    <t>חסרים נתוני תעריף מינימום לחניונים</t>
  </si>
  <si>
    <t>תעריף שחויב מינימום - מבנה חקלאי</t>
  </si>
  <si>
    <t>חסרים נתוני תעריף מינימום למבנה חקלאי</t>
  </si>
  <si>
    <t>תעריף שחויב מינימום - נכסי מדינה</t>
  </si>
  <si>
    <t>חסרים נתוני תעריף מינימום לנכסי מדינה</t>
  </si>
  <si>
    <t>תעריף שחויב מינימום - נכסים אחרים</t>
  </si>
  <si>
    <t>חסרים נתוני תעריף מינימום לנכסים אחרים</t>
  </si>
  <si>
    <t>תעריף שחויב מינימום - בניכוי/תוספת חיוב ארנונה בגין אזורי תעשייה משותפים</t>
  </si>
  <si>
    <t>חסרים נתוני תעריף מינימום לסעיף בניכוי/תוספת חיוב ארנונה בגין אזורי תעשייה משותפים</t>
  </si>
  <si>
    <t>תעריף משוקלל שנה קודמת - מבנה מגורים</t>
  </si>
  <si>
    <t>חסרים נתוני תעריף משוקלל שנה קודמת למבנה מגורים</t>
  </si>
  <si>
    <t>תעריף משוקלל שנה קודמת - משרדים, שירותים ומסחר</t>
  </si>
  <si>
    <t>חסרים נתוני תעריף משוקלל שנה קודמת למשרדים, שירותים ומסחר</t>
  </si>
  <si>
    <t>תעריף משוקלל שנה קודמת - בנקים</t>
  </si>
  <si>
    <t>חסרים נתוני תעריף משוקלל שנה קודמת לבנקים</t>
  </si>
  <si>
    <t>תעריף משוקלל שנה קודמת - תעשיה</t>
  </si>
  <si>
    <t>חסרים נתוני תעריף משוקלל שנה קודמת לתעשיה</t>
  </si>
  <si>
    <t>תעריף משוקלל שנה קודמת - בתי מלון</t>
  </si>
  <si>
    <t>חסרים נתוני תעריף משוקלל שנה קודמת לבתי מלון</t>
  </si>
  <si>
    <t>תעריף משוקלל שנה קודמת - מלאכה</t>
  </si>
  <si>
    <t>חסרים נתוני תעריף משוקלל שנה קודמת מלאכה</t>
  </si>
  <si>
    <t>תעריף משוקלל שנה קודמת - אדמה חקלאית</t>
  </si>
  <si>
    <t>חסרים נתוני תעריף משוקלל שנה קודמת לאדמה חלקאית</t>
  </si>
  <si>
    <t>תעריף משוקלל שנה קודמת - קרקע תפוסה</t>
  </si>
  <si>
    <t>חסרים נתוני תעריף משוקלל שנה קודמת לקרקע תפוסה</t>
  </si>
  <si>
    <t>תעריף משוקלל שנה קודמת - קרקע במפעל עתיר שטח</t>
  </si>
  <si>
    <t>חסרים נתוני תעריף משוקלל שנה קודמת לקרקע במפעל עתיר שטח</t>
  </si>
  <si>
    <t>תעריף משוקלל שנה קודמת - חניונים</t>
  </si>
  <si>
    <t>חסרים נתוני תעריף משוקלל שנה קודמת לחניונים</t>
  </si>
  <si>
    <t>תעריף משוקלל שנה קודמת - מבנה חקלאי</t>
  </si>
  <si>
    <t>חסרים נתוני תעריף משוקלל שנה קודמת למבנה חקלאי</t>
  </si>
  <si>
    <t>תעריף משוקלל שנה קודמת - נכסי מדינה</t>
  </si>
  <si>
    <t>חסרים נתוני תעריף משוקלל שנה קודמת לנכסי מדינה</t>
  </si>
  <si>
    <t>תעריף משוקלל שנה קודמת - נכסים אחרים</t>
  </si>
  <si>
    <t>חסרים נתוני תעריף משוקלל שנה קודמת לנכסים אחרים</t>
  </si>
  <si>
    <t>תעריף משוקלל שנה קודמת - בניכוי/תוספת חיוב ארנונה בגין אזורי תעשייה משותפים</t>
  </si>
  <si>
    <t>חסרים נתוני תעריף משוקלל שנה קודמת לסעיף בניכוי/תוספת חיוב ארנונה בגין אזורי תעשייה משותפים</t>
  </si>
  <si>
    <t>סה"כ חיוב - מבנה מגורים</t>
  </si>
  <si>
    <t>חסרים נתוני סה"כ חיוב למבנה מגורים</t>
  </si>
  <si>
    <t>סה"כ חיוב - משרדים, שירותים ומסחר</t>
  </si>
  <si>
    <t>חסרים נתוני סה"כ חיוב למשרדים, שירותים ומסחר</t>
  </si>
  <si>
    <t>סה"כ חיוב - בנקים</t>
  </si>
  <si>
    <t>חסרים נתוני סה"כ חיוב לבנקים</t>
  </si>
  <si>
    <t>סה"כ חיוב - תעשיה</t>
  </si>
  <si>
    <t>חסרים נתוני סה"כ חיוב לתעשיה</t>
  </si>
  <si>
    <t>סה"כ חיוב - בתי מלון</t>
  </si>
  <si>
    <t>חסרים נתוני סה"כ חיוב לבתי מלון</t>
  </si>
  <si>
    <t>סה"כ חיוב - מלאכה</t>
  </si>
  <si>
    <t>חסרים נתוני סה"כ חיוב מלאכה</t>
  </si>
  <si>
    <t>סה"כ חיוב - אדמה חקלאית</t>
  </si>
  <si>
    <t>חסרים נתוני סה"כ חיוב לאדמה חלקאית</t>
  </si>
  <si>
    <t>סה"כ חיוב - קרקע תפוסה</t>
  </si>
  <si>
    <t>חסרים נתוני סה"כ חיוב לקרקע תפוסה</t>
  </si>
  <si>
    <t>סה"כ חיוב - קרקע במפעל עתיר שטח</t>
  </si>
  <si>
    <t>חסרים נתוני סה"כ חיוב לקרקע במפעל עתיר שטח</t>
  </si>
  <si>
    <t>סה"כ חיוב - חניונים</t>
  </si>
  <si>
    <t>חסרים נתוני סה"כ חיוב לחניונים</t>
  </si>
  <si>
    <t>סה"כ חיוב - מבנה חקלאי</t>
  </si>
  <si>
    <t>חסרים נתוני סה"כ חיוב למבנה חקלאי</t>
  </si>
  <si>
    <t>סה"כ חיוב - נכסי מדינה</t>
  </si>
  <si>
    <t>חסרים נתוני סה"כ חיוב לנכסי מדינה</t>
  </si>
  <si>
    <t>סה"כ חיוב - נכסים אחרים</t>
  </si>
  <si>
    <t>חסרים נתוני סה"כ חיוב לנכסים אחרים</t>
  </si>
  <si>
    <t>סה"כ חיוב - בניכוי/תוספת חיוב ארנונה בגין אזורי תעשייה משותפים</t>
  </si>
  <si>
    <t>חסרים נתוני סה"כ חיוב לסעיף בניכוי/תוספת חיוב ארנונה בגין אזורי תעשייה משותפים</t>
  </si>
  <si>
    <t>סה"כ שטח במ"ר - מבנה מגורים</t>
  </si>
  <si>
    <t>חסרים נתוני סה"כ שטח במ"ר למבנה מגורים</t>
  </si>
  <si>
    <t>סה"כ שטח במ"ר - משרדים, שירותים ומסחר</t>
  </si>
  <si>
    <t>חסרים נתוני סה"כ שטח במ"ר למשרדים, שירותים ומסחר</t>
  </si>
  <si>
    <t>סה"כ שטח במ"ר - בנקים</t>
  </si>
  <si>
    <t>חסרים נתוני סה"כ שטח במ"ר לבנקים</t>
  </si>
  <si>
    <t>סה"כ שטח במ"ר - תעשיה</t>
  </si>
  <si>
    <t>חסרים נתוני סה"כ שטח במ"ר לתעשיה</t>
  </si>
  <si>
    <t>סה"כ שטח במ"ר - בתי מלון</t>
  </si>
  <si>
    <t>חסרים נתוני סה"כ שטח במ"ר לבתי מלון</t>
  </si>
  <si>
    <t>סה"כ שטח במ"ר - מלאכה</t>
  </si>
  <si>
    <t>חסרים נתוני סה"כ שטח במ"ר מלאכה</t>
  </si>
  <si>
    <t>סה"כ שטח במ"ר - אדמה חקלאית</t>
  </si>
  <si>
    <t>חסרים נתוני סה"כ שטח במ"ר לאדמה חלקאית</t>
  </si>
  <si>
    <t>סה"כ שטח במ"ר - קרקע תפוסה</t>
  </si>
  <si>
    <t>חסרים נתוני סה"כ שטח במ"ר לקרקע תפוסה</t>
  </si>
  <si>
    <t>סה"כ שטח במ"ר - קרקע במפעל עתיר שטח</t>
  </si>
  <si>
    <t>חסרים נתוני סה"כ שטח במ"ר לקרקע במפעל עתיר שטח</t>
  </si>
  <si>
    <t>סה"כ שטח במ"ר - חניונים</t>
  </si>
  <si>
    <t>חסרים נתוני סה"כ שטח במ"ר לחניונים</t>
  </si>
  <si>
    <t>סה"כ שטח במ"ר - מבנה חקלאי</t>
  </si>
  <si>
    <t>חסרים נתוני סה"כ שטח במ"ר למבנה חקלאי</t>
  </si>
  <si>
    <t>סה"כ שטח במ"ר - נכסי מדינה</t>
  </si>
  <si>
    <t>חסרים נתוני סה"כ שטח במ"ר לנכסי מדינה</t>
  </si>
  <si>
    <t>סה"כ שטח במ"ר - נכסים אחרים</t>
  </si>
  <si>
    <t>חסרים נתוני סה"כ שטח במ"ר לנכסים אחרים</t>
  </si>
  <si>
    <t>סה"כ שטח במ"ר - בניכוי/תוספת חיוב ארנונה בגין אזורי תעשייה משותפים</t>
  </si>
  <si>
    <t>חסרים נתוני סה"כ שטח במ"ר לסעיף בניכוי/תוספת חיוב ארנונה בגין אזורי תעשייה משותפים</t>
  </si>
  <si>
    <t>טופס 7</t>
  </si>
  <si>
    <t>מס. משרות נבחרים תקציב</t>
  </si>
  <si>
    <t>עלות שכר נבחרים תקציב</t>
  </si>
  <si>
    <t>חסרים נתוני מספר משרות או עלות שכר (תקציב) בסעיף הנוכחי</t>
  </si>
  <si>
    <t>מס. משרות מנהל כללי תקציב</t>
  </si>
  <si>
    <t>עלות שכר מנהל כללי תקציב</t>
  </si>
  <si>
    <t>מס. משרות מנהל כספי תקציב</t>
  </si>
  <si>
    <t>עלות שכר מנהל כספי תקציב</t>
  </si>
  <si>
    <t>מס. משרות תברואה תקציב</t>
  </si>
  <si>
    <t>עלות שכר תברואה תקציב</t>
  </si>
  <si>
    <t>מס. משרות שמירה וביטחון תקציב</t>
  </si>
  <si>
    <t>עלות שכר שמירה וביטחון תקציב</t>
  </si>
  <si>
    <t>מס. משרות תכנון ובנין עיר תקציב</t>
  </si>
  <si>
    <t>עלות שכר תכנון ובנין עיר תקציב</t>
  </si>
  <si>
    <t>מס. משרות נכסים ציבוריים תקציב</t>
  </si>
  <si>
    <t>עלות שכר נכסים ציבוריים תקציב</t>
  </si>
  <si>
    <t>מס. משרות פיקוח עירוני תקציב</t>
  </si>
  <si>
    <t>עלות שכר פיקוח עירוני תקציב</t>
  </si>
  <si>
    <t>מס. משרות שירותים חקלאיים תקציב</t>
  </si>
  <si>
    <t>עלות שכר שירותים חקלאיים תקציב</t>
  </si>
  <si>
    <t>מס. משרות חינוך תקציב</t>
  </si>
  <si>
    <t>עלות שכר חינוך תקציב</t>
  </si>
  <si>
    <t>מס. משרות תרבות תקציב</t>
  </si>
  <si>
    <t>עלות שכר תרבות תקציב</t>
  </si>
  <si>
    <t>מס. משרות בריאות תקציב</t>
  </si>
  <si>
    <t>עלות שכר בריאות תקציב</t>
  </si>
  <si>
    <t>מס. משרות רווחה תקציב</t>
  </si>
  <si>
    <t>עלות שכר רווחה תקציב</t>
  </si>
  <si>
    <t>מס. משרות דת תקציב</t>
  </si>
  <si>
    <t>עלות שכר דת תקציב</t>
  </si>
  <si>
    <t>מס. משרות קליטת עליה תקציב</t>
  </si>
  <si>
    <t>עלות שכר קליטת עליה תקציב</t>
  </si>
  <si>
    <t>מס. משרות איכות הסביבה תקציב</t>
  </si>
  <si>
    <t>עלות שכר איכות הסביבה תקציב</t>
  </si>
  <si>
    <t>מס. משרות מים תקציב</t>
  </si>
  <si>
    <t>עלות שכר מים תקציב</t>
  </si>
  <si>
    <t>מס. משרות בתי מטבחיים תקציב</t>
  </si>
  <si>
    <t>עלות שכר בתי מטבחיים תקציב</t>
  </si>
  <si>
    <t>מס. משרות תחבורה תקציב</t>
  </si>
  <si>
    <t>עלות שכר תחבורה תקציב</t>
  </si>
  <si>
    <t>מס. משרות מפעלי ביוב תקציב</t>
  </si>
  <si>
    <t>% גבייה שוטפת מסה"כ חיוב תקופתי - כולל הנחות</t>
  </si>
  <si>
    <t>% סה"כ גבייה שוטפת מסה"כ חיוב תקופתי לגבייה (בניכוי הנחות)</t>
  </si>
  <si>
    <t>% סה"כ גבייה שוטפת מסה"כ חיוב תקופתי - כולל הנחות</t>
  </si>
  <si>
    <t>עלות שכר מפעלי ביוב תקציב</t>
  </si>
  <si>
    <t>מס. משרות גמלאים תקציב</t>
  </si>
  <si>
    <t>עלות שכר גמלאים תקציב</t>
  </si>
  <si>
    <t>מס. משרות נבחרים ביצוע</t>
  </si>
  <si>
    <t>בקרת איזון (אקטיב מינוס פאסיב)</t>
  </si>
  <si>
    <t>עלויות שכר - לפי דוח 66</t>
  </si>
  <si>
    <t>מס' משרות לפי דוח 66</t>
  </si>
  <si>
    <t>עלות שכר נבחרים ביצוע</t>
  </si>
  <si>
    <t>מס. משרות מנהל כללי ביצוע</t>
  </si>
  <si>
    <t>עלות שכר מנהל כללי ביצוע</t>
  </si>
  <si>
    <t>מס. משרות מנהל כספי ביצוע</t>
  </si>
  <si>
    <t>עלות שכר מנהל כספי ביצוע</t>
  </si>
  <si>
    <t>מס. משרות תברואה ביצוע</t>
  </si>
  <si>
    <t>עלות שכר תברואה ביצוע</t>
  </si>
  <si>
    <t>מס. משרות שמירה וביטחון ביצוע</t>
  </si>
  <si>
    <t>עלות שכר שמירה וביטחון ביצוע</t>
  </si>
  <si>
    <t>מס. משרות תכנון ובנין עיר ביצוע</t>
  </si>
  <si>
    <t>עלות שכר תכנון ובנין עיר ביצוע</t>
  </si>
  <si>
    <t>מס. משרות נכסים ציבוריים ביצוע</t>
  </si>
  <si>
    <t>עלות שכר נכסים ציבוריים ביצוע</t>
  </si>
  <si>
    <t>מס. משרות פיקוח עירוני ביצוע</t>
  </si>
  <si>
    <t>עלות שכר פיקוח עירוני ביצוע</t>
  </si>
  <si>
    <t>מס. משרות שירותים חקלאיים ביצוע</t>
  </si>
  <si>
    <t>עלות שכר שירותים חקלאיים ביצוע</t>
  </si>
  <si>
    <t>מס. משרות חינוך ביצוע</t>
  </si>
  <si>
    <t>עלות שכר חינוך ביצוע</t>
  </si>
  <si>
    <t>מס. משרות תרבות ביצוע</t>
  </si>
  <si>
    <t>עלות שכר תרבות ביצוע</t>
  </si>
  <si>
    <t>מס. משרות בריאות ביצוע</t>
  </si>
  <si>
    <t>עלות שכר בריאות ביצוע</t>
  </si>
  <si>
    <t>מס. משרות רווחה ביצוע</t>
  </si>
  <si>
    <t>עלות שכר רווחה ביצוע</t>
  </si>
  <si>
    <t>מס. משרות דת ביצוע</t>
  </si>
  <si>
    <t>עלות שכר דת ביצוע</t>
  </si>
  <si>
    <t>מס. משרות קליטת עליה ביצוע</t>
  </si>
  <si>
    <t>עלות שכר קליטת עליה ביצוע</t>
  </si>
  <si>
    <t>מס. משרות איכות הסביבה ביצוע</t>
  </si>
  <si>
    <t>עלות שכר איכות הסביבה ביצוע</t>
  </si>
  <si>
    <t>מס. משרות מים ביצוע</t>
  </si>
  <si>
    <t>עלות שכר מים ביצוע</t>
  </si>
  <si>
    <t>מס. משרות בתי מטבחיים ביצוע</t>
  </si>
  <si>
    <t>עלות שכר בתי מטבחיים ביצוע</t>
  </si>
  <si>
    <t>מס. משרות תחבורה ביצוע</t>
  </si>
  <si>
    <t>עלות שכר תחבורה ביצוע</t>
  </si>
  <si>
    <t>מס. משרות מפעלי ביוב ביצוע</t>
  </si>
  <si>
    <t>עלות שכר מפעלי ביוב ביצוע</t>
  </si>
  <si>
    <t>מס. משרות גמלאים ביצוע</t>
  </si>
  <si>
    <t>עלות שכר גמלאים ביצוע</t>
  </si>
  <si>
    <t>סה"כ כללי מס. משרות תקציב</t>
  </si>
  <si>
    <t>קרנות מתוקצבות</t>
  </si>
  <si>
    <t>% גבייה כוללת מסה"כ חיוב לגביה</t>
  </si>
  <si>
    <t>תעריף משוקלל שנה נוכחית - מבנה מגורים</t>
  </si>
  <si>
    <t>תעריף משוקלל שנה נוכחית - משרדים, שירותים ומסחר</t>
  </si>
  <si>
    <t>תעריף משוקלל שנה נוכחית - בנקים</t>
  </si>
  <si>
    <t>תעריף משוקלל שנה נוכחית - תעשיה</t>
  </si>
  <si>
    <t>תעריף משוקלל שנה נוכחית - בתי מלון</t>
  </si>
  <si>
    <t>תעריף משוקלל שנה נוכחית - מלאכה</t>
  </si>
  <si>
    <t>תעריף משוקלל שנה נוכחית - אדמה חקלאית</t>
  </si>
  <si>
    <t>תעריף משוקלל שנה נוכחית - קרקע תפוסה</t>
  </si>
  <si>
    <t>תעריף משוקלל שנה נוכחית - קרקע במפעל עתיר שטח</t>
  </si>
  <si>
    <t>תעריף משוקלל שנה נוכחית - חניונים</t>
  </si>
  <si>
    <t>תעריף משוקלל שנה נוכחית - מבנה חקלאי</t>
  </si>
  <si>
    <t>תעריף משוקלל שנה נוכחית - נכסי מדינה</t>
  </si>
  <si>
    <t>תעריף משוקלל שנה נוכחית - נכסים אחרים</t>
  </si>
  <si>
    <t>תעריף משוקלל שנה נוכחית - בניכוי/תוספת חיוב ארנונה בגין אזורי תעשייה משותפים</t>
  </si>
  <si>
    <t>התעריף המשוקלל בסיווג מבנה מגורים אינו מותאם לגבולותהמקסימום/מינימום של סיווג זה</t>
  </si>
  <si>
    <t>התעריף המשוקלל בסיווג משרדים, שירותים ומסחר אינו מותאם לגבולותהמקסימום/מינימום של סיווג זה</t>
  </si>
  <si>
    <t>התעריף המשוקלל בסיווג בנקים אינו מותאם לגבולותהמקסימום/מינימום של סיווג זה</t>
  </si>
  <si>
    <t>התעריף המשוקלל בסיווג תעשיה אינו מותאם לגבולותהמקסימום/מינימום של סיווג זה</t>
  </si>
  <si>
    <t>התעריף המשוקלל בסיווג בתי מלון אינו מותאם לגבולותהמקסימום/מינימום של סיווג זה</t>
  </si>
  <si>
    <t>התעריף המשוקלל בסיווג מלאכהאינו מותאם לגבולותהמקסימום/מינימום של סיווג זה</t>
  </si>
  <si>
    <t>התעריף המשוקלל בסיווג אדמה חקלאית אינו מותאם לגבולותהמקסימום/מינימום של סיווג זה</t>
  </si>
  <si>
    <t>התעריף המשוקלל בסיווג קרקע תפוסה אינו מותאם לגבולותהמקסימום/מינימום של סיווג זה</t>
  </si>
  <si>
    <t>התעריף המשוקלל בסיווג קרקע במפעל עתיר שטח אינו מותאם לגבולותהמקסימום/מינימום של סיווג זה</t>
  </si>
  <si>
    <t>התעריף המשוקלל בסיווג חניונים אינו מותאם לגבולותהמקסימום/מינימום של סיווג זה</t>
  </si>
  <si>
    <t>התעריף המשוקלל בסיווג מבנה חקלאי אינו מותאם לגבולותהמקסימום/מינימום של סיווג זה</t>
  </si>
  <si>
    <t>התעריף המשוקלל בסיווג נכסי מדינה אינו מותאם לגבולותהמקסימום/מינימום של סיווג זה</t>
  </si>
  <si>
    <t>התעריף המשוקלל בסיווג נכים אחרים אינו מותאם לגבולותהמקסימום/מינימום של סיווג זה</t>
  </si>
  <si>
    <t>התעריף המשוקלל בסיווג חיוב ארנונה בגין אזורי תעשייה משותפים אינו מותאם לגבולותהמקסימום/מינימום של סיווג זה</t>
  </si>
  <si>
    <t>סה"כ גרעונות סופיים בתב"רים סוף שנה קודמת שונים מגרעונות סופיים בתב"רים לשנה זו</t>
  </si>
  <si>
    <t>חסרים נתונים בעמודה מספר משרות תקציב</t>
  </si>
  <si>
    <t>שכר כללי - ביצוע מצטבר</t>
  </si>
  <si>
    <t>סיכום סעיפי שכר כללי - ביצוע בפועל - עלויות שכר</t>
  </si>
  <si>
    <t>ביצוע השכר הכללי בתקציב הרגיל שונה מהביצוע בפועל שדווח בטבלת שכר ומשרות</t>
  </si>
  <si>
    <t>עלויות שכר - חינוך - ביצוע בפועל</t>
  </si>
  <si>
    <t>ביצוע שכר חינוך בתקציב הרגיל שונה מהביצוע בפועל שדווח בטבלת שכר ומשרות</t>
  </si>
  <si>
    <t>עלויות שכר - רווחה - ביצוע בפועל</t>
  </si>
  <si>
    <t>ביצוע שכר רווחה בתקציב הרגיל שונה מהביצוע בפועל שדווח בטבלת שכר ומשרות</t>
  </si>
  <si>
    <t>ת.ז.</t>
  </si>
  <si>
    <t>חסרים נתונים בעמודה עלות שכר תקציב</t>
  </si>
  <si>
    <t>סה"כ כללי מס. משרות ביצוע</t>
  </si>
  <si>
    <t>חסרים נתונים בעמודה מספר משרות ביצוע</t>
  </si>
  <si>
    <t>חסרים נתונים בעמודה עלות שכר ביצוע</t>
  </si>
  <si>
    <t>עלויות שכר רווחה (84) - ביצוע</t>
  </si>
  <si>
    <t>שכר עובדי רווחה - ביצוע מצטבר</t>
  </si>
  <si>
    <t>קיים שוני בשכר עובדי רווחה בין נתוני השכר לנתוני התקציב.</t>
  </si>
  <si>
    <t>עלויות שכר חינוך (81) - ביצוע</t>
  </si>
  <si>
    <t>שכר עובדי חינוך - ביצוע מצטבר</t>
  </si>
  <si>
    <t>קיים שוני בשכר עובדי חינוך בין נתוני השכר לנתוני התקציב.</t>
  </si>
  <si>
    <t>סה"כ הנהלה וכלליות - ביצוע</t>
  </si>
  <si>
    <t>סה"כ שרותים מקומיים - ביצוע</t>
  </si>
  <si>
    <t>סה"כ שרותים ממלכתיים - ביצוע</t>
  </si>
  <si>
    <t>סה"כ מפעלים - ביצוע</t>
  </si>
  <si>
    <t>הוצאות שכר כללי - ביצוע מצטבר</t>
  </si>
  <si>
    <t>קיים שוני בשכר הכללי בין נתוני השכר לנתוני התקציב.</t>
  </si>
  <si>
    <t>טופס 8</t>
  </si>
  <si>
    <t>בעלי שכר גבוה</t>
  </si>
  <si>
    <t>קיום ערך בשדה תיאור התפקיד בכל סעיף בו הוקלדו סכומים</t>
  </si>
  <si>
    <t>תוכן הענינים</t>
  </si>
  <si>
    <t xml:space="preserve">ריכוז תברים </t>
  </si>
  <si>
    <t>הערות הרשות</t>
  </si>
  <si>
    <t xml:space="preserve">שכר ומשרות </t>
  </si>
  <si>
    <t>תברים</t>
  </si>
  <si>
    <t>בדוח בעלי שכר גובה קיימות שורות בהם הוקלדו סכומים ללא תיאור התפקיד. השורות השגויות מסומנות באדום בדוח בעלי שכר גבוה</t>
  </si>
  <si>
    <t>קיום נתונים לגבי לפחות 3 בעלי שכר גבוה</t>
  </si>
  <si>
    <t>בדוח בעלי שכר גבוה יש להקליד נתונים לפחות לגבי שלושה מקבלי שכר</t>
  </si>
  <si>
    <t>באורים לדוחות הכספיים</t>
  </si>
  <si>
    <t>באור 1 - כללי</t>
  </si>
  <si>
    <t>הרשויות המקומיות חייבות בניהול מערכת הנהלת חשבונות לפי תקנות הרשויות המקומיות</t>
  </si>
  <si>
    <t>(הנהלת חשבונות) , התשמ"ח - 1988.</t>
  </si>
  <si>
    <t>רישום נתוני הנהלת החשבונות נערך ב"שיטת המזומנים המתוקנת" כמפורט בבאור 2 להלן.</t>
  </si>
  <si>
    <t>ג.</t>
  </si>
  <si>
    <t>הדוחות הכספיים נערכו על פי הנחיות הממונה על ביקורת החשבונות במשרד הפנים, כפי</t>
  </si>
  <si>
    <t>שנקבעו בהנחיות להנהלת חשבונות ודיווח כספי ברשויות מקומיות ,בתוקף היותו גוף אחראי</t>
  </si>
  <si>
    <t>ומפקח בכל הנוגע לניהול חשבונותיה של רשות מקומית.</t>
  </si>
  <si>
    <t>הדוחות הכספיים נערכו בהתאם להנחיות הנ"ל השונות מכללי חשבונאות מקובלים בנושאים</t>
  </si>
  <si>
    <t>מהותיים.</t>
  </si>
  <si>
    <t>ד.</t>
  </si>
  <si>
    <t>להלן נתונים על השינויים במדד המחירים לצרכן ובשער החליפין של השקל ביחס לדולר:</t>
  </si>
  <si>
    <t>שער החליפין של הדולר האמריקאי בש"ח</t>
  </si>
  <si>
    <t>מדד המחירים לצרכן (ממוצע 1993) בנקודות</t>
  </si>
  <si>
    <t>שעור עלית (ירידת) הדולר במהלך השנה</t>
  </si>
  <si>
    <t>שעור עלית  המדד במהלך השנה</t>
  </si>
  <si>
    <t>ה.</t>
  </si>
  <si>
    <t xml:space="preserve">ו. </t>
  </si>
  <si>
    <t>שרותים המסופקים ע"י המועצה: [( מיועד למועצות אזוריות בלבד)]</t>
  </si>
  <si>
    <t xml:space="preserve">המועצה מספקת את השרותים המפורטים להלן: </t>
  </si>
  <si>
    <t xml:space="preserve">שרותי הוצאת אשפה; שרותי תאורת רחובות; ... יתר השרותים מסופקים לתוש/בים ישירות ע"י </t>
  </si>
  <si>
    <t>באור 2 - עיקרי המדיניות החשבונאית</t>
  </si>
  <si>
    <t>הדוחות ערוכים על בסיס נומינלי היסטורי וללא התאמה לשינויים בכח הקניה הכללי של המטבע הישראלי.</t>
  </si>
  <si>
    <t xml:space="preserve">עיקרי המדיניות החשבונאית אשר יושמו בעריכת הדוחות הכספיים באופן עקבי לשנה קודמת </t>
  </si>
  <si>
    <t>מפורטים להלן:</t>
  </si>
  <si>
    <t>רכוש קבוע</t>
  </si>
  <si>
    <t xml:space="preserve">ההשקעות ברכוש קבוע מופחתות עם זקיפת ההוצאות לתקציב הרגיל או הבלתי רגיל,  </t>
  </si>
  <si>
    <t>בהתאם למקור המימון, ואינן מוצגות כנכס במאזן ופחת בגינן אינו מקבל ביטוי על פני תקופות הדיווח.</t>
  </si>
  <si>
    <t>הלוואות שנתקבלו</t>
  </si>
  <si>
    <t>(1)</t>
  </si>
  <si>
    <t>הלוואות נרשמות כהכנסות בתקציב הבלתי רגיל עם קבלתן בפועל.</t>
  </si>
  <si>
    <t>(2)</t>
  </si>
  <si>
    <t>המאזן אינו כולל את יתרת ההלוואות לזמן ארוך שחבה העירייה (קרן, ריבית והפרשי הצמדה</t>
  </si>
  <si>
    <t>שנצברו), שכן ההלוואות נרשמו כהכנסות בזמן קבלתן, עומס המלוות לתאריך הדוח הכספי</t>
  </si>
  <si>
    <t>מוצג כנספח למאזן (נספח 3 לטופס 1).</t>
  </si>
  <si>
    <t>(3)</t>
  </si>
  <si>
    <t>פרעון מלוות (כולל קרן , ריבית והפרשי הצמדה/שער) שזמן פרעונם הגיע , לפי לוחות סילוקין,</t>
  </si>
  <si>
    <t>נזקף כהוצאה בתקציב הרגיל, גם אם לא שולמו בפועל.</t>
  </si>
  <si>
    <t>(4)</t>
  </si>
  <si>
    <t>נתון מחושב</t>
  </si>
  <si>
    <t>סיכום ביניים</t>
  </si>
  <si>
    <t>תא סיכומי</t>
  </si>
  <si>
    <t>סך כולל, סך הכל כללי</t>
  </si>
  <si>
    <t>הוצאות ריבית והפרשי הצמדה שהצטברו ושזמן פרעונן, לפי לוחות סילוקין, הוא</t>
  </si>
  <si>
    <t>לאחר תאריך הדוח הכספי, אינן נרשמות כהוצאה.</t>
  </si>
  <si>
    <t>(5)</t>
  </si>
  <si>
    <t>מלוות לצורך שעה (לזמן קצר) ומשיכות יתר מבנקים מוצגות כסעיף מאזני.</t>
  </si>
  <si>
    <t>(6)</t>
  </si>
  <si>
    <t>תעריף שחוייב מקסימום בש"ח</t>
  </si>
  <si>
    <t>תעריף שחוייב מינימום בש"ח</t>
  </si>
  <si>
    <t>תעריף משוקלל בש"ח שנה נוכחית</t>
  </si>
  <si>
    <t>תעריף משוקלל שנה קודמת בש"ח</t>
  </si>
  <si>
    <t>סה"כ שטח השנה במ"ר / דונם</t>
  </si>
  <si>
    <t>אדמה חקלאית (לדונם)</t>
  </si>
  <si>
    <t>קרקע תפוסה (לדונם)</t>
  </si>
  <si>
    <t>קרקע במפעל עתיר שטח (לדונם)</t>
  </si>
  <si>
    <t>הלוואות לזמן קצר כוללות ריבית והפרשי הצמדה שנצברו עד לתאריך הדוח.</t>
  </si>
  <si>
    <t>(7)</t>
  </si>
  <si>
    <t>פרעון מלוות בגין ביוב נכלל בסעיף הוצאות מפעל הביוב / פרעון מלוות.</t>
  </si>
  <si>
    <t>h</t>
  </si>
  <si>
    <t>מקרא</t>
  </si>
  <si>
    <t>סמל</t>
  </si>
  <si>
    <t>תיאור</t>
  </si>
  <si>
    <t>ניתן להקלדה (כן/לא)</t>
  </si>
  <si>
    <t>לא</t>
  </si>
  <si>
    <t>תא המיועד להקלדת נתונים</t>
  </si>
  <si>
    <t>כן</t>
  </si>
  <si>
    <r>
      <t xml:space="preserve">התקציב לשנת </t>
    </r>
    <r>
      <rPr>
        <sz val="10"/>
        <color indexed="12"/>
        <rFont val="Arial"/>
        <family val="2"/>
        <charset val="177"/>
      </rPr>
      <t>&lt;שנה&gt;</t>
    </r>
    <r>
      <rPr>
        <sz val="10"/>
        <rFont val="Arial"/>
        <family val="2"/>
        <charset val="177"/>
      </rPr>
      <t xml:space="preserve"> אושר בתחילה ע"י משרד הפנים בתאריך </t>
    </r>
    <r>
      <rPr>
        <sz val="10"/>
        <color indexed="12"/>
        <rFont val="Arial"/>
        <family val="2"/>
        <charset val="177"/>
      </rPr>
      <t>&lt;תאריך&gt;</t>
    </r>
    <r>
      <rPr>
        <sz val="10"/>
        <rFont val="Arial"/>
        <family val="2"/>
        <charset val="177"/>
      </rPr>
      <t xml:space="preserve"> ועדכונו אושר בתאריך </t>
    </r>
    <r>
      <rPr>
        <sz val="10"/>
        <color indexed="12"/>
        <rFont val="Arial"/>
        <family val="2"/>
        <charset val="177"/>
      </rPr>
      <t>&lt;תאריך&gt;</t>
    </r>
    <r>
      <rPr>
        <sz val="10"/>
        <rFont val="Arial"/>
        <family val="2"/>
        <charset val="177"/>
      </rPr>
      <t>.</t>
    </r>
  </si>
  <si>
    <r>
      <t>הועדים המקומיים. רישום ההכנסות ממכסות הוא על בסיס מזומן / מצטבר</t>
    </r>
    <r>
      <rPr>
        <sz val="10"/>
        <color indexed="12"/>
        <rFont val="Arial"/>
        <family val="2"/>
        <charset val="177"/>
      </rPr>
      <t xml:space="preserve"> (מחק את המיותר) </t>
    </r>
  </si>
  <si>
    <t>הצג תוכן ענינים</t>
  </si>
  <si>
    <t>א.</t>
  </si>
  <si>
    <t>ב.</t>
  </si>
  <si>
    <t>תמצית המאזן באלפי ₪</t>
  </si>
  <si>
    <t>נכסים והתחייבויות</t>
  </si>
  <si>
    <t>תקופת הדוח</t>
  </si>
  <si>
    <t>שנה קודמת</t>
  </si>
  <si>
    <t>נכסים</t>
  </si>
  <si>
    <t>נכסים נזילים: קופה ובנקים</t>
  </si>
  <si>
    <t>הכנסות מתוקצבות שטרם התקבלו</t>
  </si>
  <si>
    <t>חייבים - תשלומים לא מתוקצבים</t>
  </si>
  <si>
    <t>סה"כ רכוש שוטף</t>
  </si>
  <si>
    <t>השקעות מיועדות לכסוי קרן לעבודות פיתוח</t>
  </si>
  <si>
    <t>השקעות במימון קרנות מתוקצבות</t>
  </si>
  <si>
    <t>סה"כ השקעות</t>
  </si>
  <si>
    <t>גרעון לראשית השנה</t>
  </si>
  <si>
    <t>סכום שהתקבל להקטנת הגרעון (במינוס) (1)</t>
  </si>
  <si>
    <t>גרעון (עודף) שוטף בתקופת הדוח</t>
  </si>
  <si>
    <t>סה"כ גרעון מצטבר בתקציב הרגיל</t>
  </si>
  <si>
    <t>גרעונות סופיים בתב"רים</t>
  </si>
  <si>
    <t>סכום שהתקבל להקטנת הגרעון הסופי בתבר"ים (במינוס) (2)</t>
  </si>
  <si>
    <t>חדש</t>
  </si>
  <si>
    <t>סה"כ גרעון מצטבר בתב"רים סופיים</t>
  </si>
  <si>
    <t>סה"כ נכסים</t>
  </si>
  <si>
    <t>התחייבויות ועודפים</t>
  </si>
  <si>
    <t>הוצאות מתוקצבות שטרם שולמו</t>
  </si>
  <si>
    <t>בנקים: משיכות יתר והלוואות</t>
  </si>
  <si>
    <t>משרדי ממשלה</t>
  </si>
  <si>
    <t>תקבולים לא מתוקצבים:</t>
  </si>
  <si>
    <t>פקדונות, הכנסות מראש ואחרים</t>
  </si>
  <si>
    <t>סה"כ התחיבויות שוטפות</t>
  </si>
  <si>
    <t>קרן עבודות פיתוח ועודפים בתקציב הרגיל</t>
  </si>
  <si>
    <t>סה"כ קרנות מתוקצבות</t>
  </si>
  <si>
    <t>עודפים בתקציב הרגיל</t>
  </si>
  <si>
    <t>עודף לראשית השנה</t>
  </si>
  <si>
    <t>עודף (גרעון) בתקופת הדוח</t>
  </si>
  <si>
    <t>סה"כ עודף מצטבר בתקציב הרגיל</t>
  </si>
  <si>
    <t>העברת עודפי שנים קודמות לתקציב הרגיל  (במינוס)</t>
  </si>
  <si>
    <t>סה"כ התחייבויות ועודפים</t>
  </si>
  <si>
    <t>חשבונות מקבילים</t>
  </si>
  <si>
    <t>חייבים בגין אגרות והיטלים</t>
  </si>
  <si>
    <t>עומס מלוות לפרעון (משוערך) לשנים הבאות</t>
  </si>
  <si>
    <t>ערבויות שנתנו</t>
  </si>
  <si>
    <t>הלוואות לכסוי הגרעון</t>
  </si>
  <si>
    <t>מענקים לכסוי הגרעון</t>
  </si>
  <si>
    <t>קרנות /אחר לכיסוי הגרעון</t>
  </si>
  <si>
    <t>גבייה מפיגורים לכסוי הגרעון</t>
  </si>
  <si>
    <t>סה"כ מקורות לכסוי הגרעון</t>
  </si>
  <si>
    <t>פירוט מקורות מימון לכסוי הגרעון הסופי בתב"רים (2)</t>
  </si>
  <si>
    <t>קרן עודפים בתקציב הרגיל</t>
  </si>
  <si>
    <t>קרן היטל השבחה</t>
  </si>
  <si>
    <t>קרן ממכירת נכסים</t>
  </si>
  <si>
    <t>קרן היטל מים</t>
  </si>
  <si>
    <t>קרן היטל ביוב</t>
  </si>
  <si>
    <t>קרנות אחרות</t>
  </si>
  <si>
    <t>סה"כ קרנות</t>
  </si>
  <si>
    <t>גרעונות מימון זמניים</t>
  </si>
  <si>
    <t>עודפי מימון זמניים</t>
  </si>
  <si>
    <t>תמצית נתוני התקציב הרגיל באלפי ₪</t>
  </si>
  <si>
    <t>תקציב יחסי לתקופה</t>
  </si>
  <si>
    <t>ביצוע מצטבר</t>
  </si>
  <si>
    <t>סטיה מהתקציב</t>
  </si>
  <si>
    <t>סטיה מהתקציב ב%</t>
  </si>
  <si>
    <t>הכנסות</t>
  </si>
  <si>
    <t>ארנונה כללית</t>
  </si>
  <si>
    <t>הכנסות ממכירת מים</t>
  </si>
  <si>
    <t>סה"כ עצמיות</t>
  </si>
  <si>
    <t>תקבולים ממשרד החינוך</t>
  </si>
  <si>
    <t>תקבולים ממשרד הרווחה</t>
  </si>
  <si>
    <t>תקבולים ממשלתיים אחרים</t>
  </si>
  <si>
    <t>מענק כללי לאיזון</t>
  </si>
  <si>
    <t>מענקים מיועדים</t>
  </si>
  <si>
    <t>תקבולים אחרים</t>
  </si>
  <si>
    <t>סה"כ הכנסות לפני כיסוי גרעון מצטבר והנחות בארנונה</t>
  </si>
  <si>
    <t>כיסוי ממקורות הרשות בשנים הבאות</t>
  </si>
  <si>
    <t>מענק לכיסוי גרעון מצטבר</t>
  </si>
  <si>
    <t>הנחות בארנונה (הכנסות)</t>
  </si>
  <si>
    <t>סה"כ הכנסות</t>
  </si>
  <si>
    <t>הוצאות</t>
  </si>
  <si>
    <t>הוצאות שכר כללי</t>
  </si>
  <si>
    <t>פעולות כלליות</t>
  </si>
  <si>
    <t>הוצאות רכישת מים</t>
  </si>
  <si>
    <t>סה"כ כלליות</t>
  </si>
  <si>
    <t>שכר עובדי חינוך</t>
  </si>
  <si>
    <t>פעולות חינוך</t>
  </si>
  <si>
    <t>סה"כ חינוך</t>
  </si>
  <si>
    <t>שכר עובדי רווחה</t>
  </si>
  <si>
    <t>פעולות רווחה</t>
  </si>
  <si>
    <t>סה"כ רווחה</t>
  </si>
  <si>
    <t>סה"כ הוצאות לפני פרעון מלוות, מימון, כיסוי גרעון מצטבר והנחות בארנונה</t>
  </si>
  <si>
    <t>פרעון מלוות מים וביוב</t>
  </si>
  <si>
    <t>פרעון מלוות אחרות</t>
  </si>
  <si>
    <t>סה"כ פרעון מלוות</t>
  </si>
  <si>
    <t>הוצאות מימון</t>
  </si>
  <si>
    <t>העברות והוצאות חד פעמיות</t>
  </si>
  <si>
    <t>סה"כ הוצאות לפני כיסוי גרעון מצטבר והנחות בארנונה</t>
  </si>
  <si>
    <t>הוצאה לכיסוי גרעון מצטבר</t>
  </si>
  <si>
    <t>הנחות בארנונה (הוצאות)</t>
  </si>
  <si>
    <t>סה"כ הוצאות</t>
  </si>
  <si>
    <t>עודף (גרעון)</t>
  </si>
  <si>
    <t>סעיף</t>
  </si>
  <si>
    <t>דוח בעלי השכר הגבוה</t>
  </si>
  <si>
    <t>תיאור התפקיד</t>
  </si>
  <si>
    <t>דרוג</t>
  </si>
  <si>
    <t>דרגה</t>
  </si>
  <si>
    <t>שכר משולב</t>
  </si>
  <si>
    <t>תוספות שכר</t>
  </si>
  <si>
    <t>העברה לכיסוי גרעון מצטבר</t>
  </si>
  <si>
    <t>עבודה נוספת</t>
  </si>
  <si>
    <t>החזר הוצאות</t>
  </si>
  <si>
    <t>הפרשים</t>
  </si>
  <si>
    <t>סה"כ שכר העובד</t>
  </si>
  <si>
    <t>עלות הפרשות המעביד</t>
  </si>
  <si>
    <t>עלות שכר כוללת</t>
  </si>
  <si>
    <t>שכר ומשרות לפי פרקי תקציב</t>
  </si>
  <si>
    <t>הפרש</t>
  </si>
  <si>
    <t>מס'</t>
  </si>
  <si>
    <t>שם הפרק</t>
  </si>
  <si>
    <t>מספר משרות</t>
  </si>
  <si>
    <t>עלויות שכר</t>
  </si>
  <si>
    <t>עלות יחסית לתקופת הדוח</t>
  </si>
  <si>
    <t>הנהלה וכלליות</t>
  </si>
  <si>
    <t>נבחרים</t>
  </si>
  <si>
    <t>מנהל כללי</t>
  </si>
  <si>
    <t>מנהל כספי</t>
  </si>
  <si>
    <t>סה"כ הנהלה וכלליות</t>
  </si>
  <si>
    <t>שירותים מקומיים</t>
  </si>
  <si>
    <t>תברואה</t>
  </si>
  <si>
    <t>שמירה ובטחון</t>
  </si>
  <si>
    <t>תכנון ובנין עיר</t>
  </si>
  <si>
    <t>נכסים ציבוריים</t>
  </si>
  <si>
    <t>שרותים עירוניים שונים</t>
  </si>
  <si>
    <t>פיקוח עירוני</t>
  </si>
  <si>
    <t>שירותים חקלאיים</t>
  </si>
  <si>
    <t>סה"כ שרותים מקומיים</t>
  </si>
  <si>
    <t>שרותים ממלכתיים</t>
  </si>
  <si>
    <t>חינוך</t>
  </si>
  <si>
    <t>תרבות</t>
  </si>
  <si>
    <t>בריאות</t>
  </si>
  <si>
    <t>רווחה</t>
  </si>
  <si>
    <t>דת</t>
  </si>
  <si>
    <t>קליטת עליה</t>
  </si>
  <si>
    <t>איכות סביבה</t>
  </si>
  <si>
    <t>סה"כ שרותים ממלכתיים</t>
  </si>
  <si>
    <t>מפעלים</t>
  </si>
  <si>
    <t>מים</t>
  </si>
  <si>
    <t>בתי מטבחיים</t>
  </si>
  <si>
    <t>תחבורה</t>
  </si>
  <si>
    <t>מפעלי ביוב</t>
  </si>
  <si>
    <t>סה"כ מפעלים</t>
  </si>
  <si>
    <t>סה"כ כללי</t>
  </si>
  <si>
    <t>גימלאים</t>
  </si>
  <si>
    <t>הגדרות כלליות</t>
  </si>
  <si>
    <t>שם רשות</t>
  </si>
  <si>
    <t>שנה נוכחית</t>
  </si>
  <si>
    <t>מספר , בן ארבע ספרות (פורמט YYYY)</t>
  </si>
  <si>
    <t>שנתיים קודמות</t>
  </si>
  <si>
    <t>תחילת שנה</t>
  </si>
  <si>
    <t>פורמט  DD.MM</t>
  </si>
  <si>
    <t>סוף שנה</t>
  </si>
  <si>
    <t>מספר רבעון</t>
  </si>
  <si>
    <t>סוג רשות מקומית</t>
  </si>
  <si>
    <t>האם קיימת מערכת לגביית מים ברשות המקומית?</t>
  </si>
  <si>
    <t>קוד ביקורת טעינה שהתקבל ממשרד הפנים</t>
  </si>
  <si>
    <t>סוג הנכס</t>
  </si>
  <si>
    <t>סה"כ שטח השנה במ"ר</t>
  </si>
  <si>
    <t>תעריף שחוייב מקסימום</t>
  </si>
  <si>
    <t>תעריף שחוייב מינימום</t>
  </si>
  <si>
    <t>תעריף משוקלל שנה נוכחית</t>
  </si>
  <si>
    <t>תעריף משוקלל שנה קודמת</t>
  </si>
  <si>
    <t>השנוי ב %</t>
  </si>
  <si>
    <t>סה"כ חיוב באלפי ₪</t>
  </si>
  <si>
    <t>מבני מגורים</t>
  </si>
  <si>
    <t>משרדים שרותים ומסחר</t>
  </si>
  <si>
    <t>בנקים</t>
  </si>
  <si>
    <t>תעשיה</t>
  </si>
  <si>
    <t>בתי מלון</t>
  </si>
  <si>
    <t>מלאכה</t>
  </si>
  <si>
    <t>חניונים</t>
  </si>
  <si>
    <t>מבנה חקלאי</t>
  </si>
  <si>
    <t>נכסי מדינה</t>
  </si>
  <si>
    <t>נכסים אחרים</t>
  </si>
  <si>
    <t>סה"כ</t>
  </si>
  <si>
    <t>אזורי תעשיה משותפים</t>
  </si>
  <si>
    <t>השינוי ב %</t>
  </si>
  <si>
    <t>בניכוי/תוספת חיוב ארנונה בגין אזורי תעשייה משותפים</t>
  </si>
  <si>
    <t>דוח גבייה ויתרת חייבים באלפי ₪</t>
  </si>
  <si>
    <t>ארנונה השנה עד רבעון זה</t>
  </si>
  <si>
    <t>ארנונה שנה קודמת רבעון מקביל</t>
  </si>
  <si>
    <t>ארנונה סה"כ שנה קודמת</t>
  </si>
  <si>
    <t>מים השנה עד רבעון זה</t>
  </si>
  <si>
    <t>מים שנה קודמת רבעון מקביל</t>
  </si>
  <si>
    <t>מים סה"כ שנה קודמת</t>
  </si>
  <si>
    <t>גביית פיגורים</t>
  </si>
  <si>
    <t>יתרת פיגורים ריאלית לתחילת השנה</t>
  </si>
  <si>
    <t>חיוב / זיכוי נוסף</t>
  </si>
  <si>
    <t>העברה לחובות מסופקים (במינוס)</t>
  </si>
  <si>
    <t>חיובים במהלך התקופה כולל ריבית והצמדה</t>
  </si>
  <si>
    <t>מחיקת חובות (במינוס)</t>
  </si>
  <si>
    <t>סה"כ יתרת פיגורים לגבייה</t>
  </si>
  <si>
    <t>גבייה בגין פיגורים</t>
  </si>
  <si>
    <t>יתרת פיגורים בגין שנים קודמות</t>
  </si>
  <si>
    <t>גבייה שוטפת</t>
  </si>
  <si>
    <t>חיוב תקופתי שוטף מצטבר</t>
  </si>
  <si>
    <t>חיוב/זיכוי נוסף כולל ריבית והצמדה</t>
  </si>
  <si>
    <t>סה"כ חיוב תקופתי לגבייה</t>
  </si>
  <si>
    <t>גבייה מראש</t>
  </si>
  <si>
    <t>סה"כ גבייה שוטפת</t>
  </si>
  <si>
    <t>יתרת פיגורים לתקופה</t>
  </si>
  <si>
    <t>יתרת פיגורים כוללת לסוף התקופה</t>
  </si>
  <si>
    <t>% גבייה מהפיגורים (בניכוי הנחות)</t>
  </si>
  <si>
    <t>כמות מים שנתית מאושרת באלפי מ"ק</t>
  </si>
  <si>
    <t>כמות מים שנרכשה / הופקה באלפי מ"ק</t>
  </si>
  <si>
    <t>כמות מים שנמכרה / חוייבה באלפי מ"ק</t>
  </si>
  <si>
    <t>פחת באלפי מ"ק</t>
  </si>
  <si>
    <t>אחוז (%) הפחת</t>
  </si>
  <si>
    <t>ריכוז תב"רים לפי פרקי תקציב באלפי ₪</t>
  </si>
  <si>
    <t>הפרק התקציבי</t>
  </si>
  <si>
    <t>סה"כ תב"רים</t>
  </si>
  <si>
    <t>התקציב המאושר</t>
  </si>
  <si>
    <t>ביצוע  שנה קודמת הכנסות</t>
  </si>
  <si>
    <t>ביצוע שנה קודמת הוצאות</t>
  </si>
  <si>
    <t>ביצוע מצטבר הכנסות</t>
  </si>
  <si>
    <t>ביצוע מצטבר הוצאות</t>
  </si>
  <si>
    <t>ביצוע מצטבר עודף הכנסות</t>
  </si>
  <si>
    <t>ביצוע מצטבר עודף הוצאות</t>
  </si>
  <si>
    <t>מצטבר נטו עודף/גרעון</t>
  </si>
  <si>
    <t>פרעון מלוות</t>
  </si>
  <si>
    <t>תכנון ובנין</t>
  </si>
  <si>
    <t>נכסים צבוריים</t>
  </si>
  <si>
    <t>חגיגות וארועים</t>
  </si>
  <si>
    <t>שונות והשתתפויות</t>
  </si>
  <si>
    <t xml:space="preserve">כלכלה ותיירות </t>
  </si>
  <si>
    <t>שרותים חקלאיים</t>
  </si>
  <si>
    <t xml:space="preserve">חינוך </t>
  </si>
  <si>
    <t>איכות הסביבה</t>
  </si>
  <si>
    <t>תעסוקה</t>
  </si>
  <si>
    <t>חשמל</t>
  </si>
  <si>
    <t>ביוב</t>
  </si>
  <si>
    <t>מפעלים אחרים</t>
  </si>
  <si>
    <t xml:space="preserve">תשלומים לא רגילים </t>
  </si>
  <si>
    <t>ביקורת:</t>
  </si>
  <si>
    <t>ריכוז תקבולים ותשלומים של תב"רים באלפי ₪</t>
  </si>
  <si>
    <t>תקבולים בתקופת הדוח</t>
  </si>
  <si>
    <t>מלוות מהאוצר</t>
  </si>
  <si>
    <t>מלוות מאחרים</t>
  </si>
  <si>
    <t>השתתפות משרדי ממשלה</t>
  </si>
  <si>
    <t>משרד הפנים</t>
  </si>
  <si>
    <t>משרד הבטחון</t>
  </si>
  <si>
    <t>משרד החינוך</t>
  </si>
  <si>
    <t>משרד הדתות</t>
  </si>
  <si>
    <t>משרד העבודה והרווחה</t>
  </si>
  <si>
    <t>משרד איכות הסביבה</t>
  </si>
  <si>
    <t>משרד הבינוי והשיכון</t>
  </si>
  <si>
    <t>משרד התשתיות</t>
  </si>
  <si>
    <t>משרד התיירות</t>
  </si>
  <si>
    <t>משרד התחבורה</t>
  </si>
  <si>
    <t>משרדים אחרים</t>
  </si>
  <si>
    <t>סה"כ השתתפות משרדי ממשלה</t>
  </si>
  <si>
    <t>השתתפות בעלים</t>
  </si>
  <si>
    <t>מקורות אחרים</t>
  </si>
  <si>
    <t>האם נתוני שנה קודמת במאזן מבוקרים?</t>
  </si>
  <si>
    <t>הרכב קרנות בלתי מתוקצבות (3)</t>
  </si>
  <si>
    <t>התקציב מאושר על ידי:</t>
  </si>
  <si>
    <t>* תקציב שנתי מאושר</t>
  </si>
  <si>
    <t>תקציב הרשות אושר על ידי:</t>
  </si>
  <si>
    <t>עצמיות חינוך</t>
  </si>
  <si>
    <t>עצמיות רווחה</t>
  </si>
  <si>
    <t>עצמיות אחר</t>
  </si>
  <si>
    <t>אחרים</t>
  </si>
  <si>
    <t>תקבולים ותשלומים שנצברו לסוף התקופה</t>
  </si>
  <si>
    <t>תקבולים שנצברו (סוף תקופה)</t>
  </si>
  <si>
    <t>תשלומים שנצברו (סוף תקופה)</t>
  </si>
  <si>
    <t>ביצוע תקופה זאת הכנסות</t>
  </si>
  <si>
    <t>ביצוע תקופה זאת הוצאות</t>
  </si>
  <si>
    <t>תעריפי ארנונה וסך חיוב</t>
  </si>
  <si>
    <t>סה"כ חיוב שנתי באלפי ₪</t>
  </si>
  <si>
    <t>העברה מקרנות הרשות</t>
  </si>
  <si>
    <t>השתתפות תקציב רגיל</t>
  </si>
  <si>
    <t>השתתפות תבר"ים אחרים</t>
  </si>
  <si>
    <t>סגירת גרעונות סופיים בתב"רים</t>
  </si>
  <si>
    <t>סה"כ תקבולים</t>
  </si>
  <si>
    <t>תשלומים בתקופת הדוח</t>
  </si>
  <si>
    <t>עבודות שבוצעו במשך השנה</t>
  </si>
  <si>
    <t>הוצאות אחרות (תכנון, ציוד וכד')</t>
  </si>
  <si>
    <t>העברת מלוות שנתקבלו לתקציב הרגיל</t>
  </si>
  <si>
    <t>העברת מלוות שנתקבלו להקטנת הגרעון</t>
  </si>
  <si>
    <t>העברה לקרנות פיתוח</t>
  </si>
  <si>
    <t>העברת עודפים לתבר"ים אחרים</t>
  </si>
  <si>
    <t>סה"כ תשלומים</t>
  </si>
  <si>
    <t>תקבולים ותשלומים שנצברו לתחילת השנה</t>
  </si>
  <si>
    <t>תקבולים שנצברו (תחילת שנה)</t>
  </si>
  <si>
    <t>תשלומים שנצברו (תחילת שנה)</t>
  </si>
  <si>
    <t>יתרות זמניות נטו לתחילת השנה</t>
  </si>
  <si>
    <t>עודף (גרעון) נטו</t>
  </si>
  <si>
    <t>הרכב היתרה</t>
  </si>
  <si>
    <t>(*)לאחר נכוי השקעות בפרויקטים שנסגרו בתקופת הדוח</t>
  </si>
  <si>
    <t>תקבולים (בנכוי פרויקטים שנסגרו)</t>
  </si>
  <si>
    <t>תשלומים (בנכוי פרויקטים שנסגרו)</t>
  </si>
  <si>
    <t>&lt;&gt;0</t>
  </si>
  <si>
    <t>c29</t>
  </si>
  <si>
    <t>אין נתוני עודף/גרעון בשנה קודמת</t>
  </si>
  <si>
    <t>d29</t>
  </si>
  <si>
    <t>אין נתוני עודף/גרעון בתק' הדו"ח</t>
  </si>
  <si>
    <t>"+-1"</t>
  </si>
  <si>
    <t>c32,d35</t>
  </si>
  <si>
    <t>היתרות הזמניות נטו לתחילת השנה שונות מהעודף/גרעון נטו מסוף שנה קודמת.</t>
  </si>
  <si>
    <t>c35,d38</t>
  </si>
  <si>
    <t>עודף/גרעון נטו בתק' הדו"ח שונה מעודף/גרעון נטו מצטבר של סה"כ התב"רים בטופס 4.</t>
  </si>
  <si>
    <t>c30,d33</t>
  </si>
  <si>
    <t>תקבולים לתחילת שנה שונים מתקבולים לסוף ש.ק.</t>
  </si>
  <si>
    <t>c31,d34</t>
  </si>
  <si>
    <t>תשלומים לתחילת שנה שונים מתשלומים לסוף ש.ק.</t>
  </si>
  <si>
    <t>c33-(c22+c30-c39)</t>
  </si>
  <si>
    <t>סך התקבולים לתק' הדוח שונים מהנתונים המצטברים</t>
  </si>
  <si>
    <t>c34-(c28+c31-c40)</t>
  </si>
  <si>
    <t>סך התשלומים לתק' הדוח שונים מהנתונים המצטברים</t>
  </si>
  <si>
    <t>d33-(d22+d30-d39)</t>
  </si>
  <si>
    <t>סך התקבולים לשנה קודמת שונים מהנתונים המצטברים</t>
  </si>
  <si>
    <t>סך התשלומים לשנה קודמת שונים מהנתונים המצטברים</t>
  </si>
  <si>
    <t>תקין</t>
  </si>
  <si>
    <t xml:space="preserve"> הקודמת</t>
  </si>
  <si>
    <t>לא רלוונטי</t>
  </si>
  <si>
    <t>ריק</t>
  </si>
  <si>
    <t>מועצה אזורית</t>
  </si>
  <si>
    <t>בדיקות הצלבה</t>
  </si>
  <si>
    <t>נתונים להשוואה</t>
  </si>
  <si>
    <t>תוצאת הבדיקה</t>
  </si>
  <si>
    <t>נתון א</t>
  </si>
  <si>
    <t>נתון ב</t>
  </si>
  <si>
    <t>גליון</t>
  </si>
  <si>
    <t>שנה</t>
  </si>
  <si>
    <t>סכום</t>
  </si>
  <si>
    <t>לא תקין</t>
  </si>
  <si>
    <t>הערה (*)</t>
  </si>
  <si>
    <t>תמצית מאזן</t>
  </si>
  <si>
    <t>סה"כ התחייבויות</t>
  </si>
  <si>
    <t>סה"כ נכסים בתקופת הדוח שונה מסה"כ התחייבויות בתקופת הדוח</t>
  </si>
  <si>
    <t>סה"כ נכסים שנה קודמת שונה מסה"כ התחייבויות בשנה קודמת</t>
  </si>
  <si>
    <t>גרעון לתחילת השנה</t>
  </si>
  <si>
    <t>גרעון  מצטבר בתקציב הרגיל לתחילת שנה שונה מגרעון (עודף) מצטבר בתקציב הרגיל לסוף שנה קודמת</t>
  </si>
  <si>
    <t>עודף לתחילת השנה</t>
  </si>
  <si>
    <t>עודף מצטבר בתקציב הרגיל לתחילת שנה שונה מעודף (גרעון) מצטבר בתקציב הרגיל לסוף שנה קודמת</t>
  </si>
  <si>
    <t xml:space="preserve">סכומים שנתקבלו להקטנת גרעונות </t>
  </si>
  <si>
    <t>סה"כ מקורות לכיסוי גרעון</t>
  </si>
  <si>
    <t>סכום שהתקבל להקטנת הגרעון בתקופת הדוח שונה מסה"כ מקורות לכיסוי הגרעון בחשבונות המקבילים בתקופת הדוח</t>
  </si>
  <si>
    <t>סכום שהתקבל להקטנת הגרעון בשנה קודמת שונה מסה"כ מקורות לכיסוי הגרעון בחשבונות המקבילים בשנה קודמת</t>
  </si>
  <si>
    <t>גרעון שוטף בתקציב הרגיל</t>
  </si>
  <si>
    <t>תקציב רגיל</t>
  </si>
  <si>
    <t>ביצוע מצטבר - גרעון</t>
  </si>
  <si>
    <t>גרעון שוטף בתקופת הדוח בטופס 1 שונה מביצוע מצטבר גרעון / עודף  בתקופת הדוח בטופס 2</t>
  </si>
  <si>
    <t>עודף שוטף בתקציב הרגיל</t>
  </si>
  <si>
    <t>ביצוע מצטבר - עודף</t>
  </si>
  <si>
    <t>עודף שוטף בתקופת הדוח בטופס 1 שונה מביצוע מצטבר גרעון / עודף בתקופת הדוח בטופס 2</t>
  </si>
  <si>
    <t>קרן לעבודות פיתוח</t>
  </si>
  <si>
    <t>סה"כ קרנות בהרכב קרן לעבודות פיתוח שבחשבונות המקבילים בתקופת הדוח שונה מקרן לעבודות פיתוח בהתחייבויות בתקופת הדוח</t>
  </si>
  <si>
    <t>סה"כ קרנות בהרכב קרן לעבודות פיתוח שבחשבונות המקבילים בשנה קודמת שונה מקרן לעבודות פיתוח בהתחייבויות בשנה קודמת</t>
  </si>
  <si>
    <r>
      <t xml:space="preserve">קרנות בלתי מתוקצבות </t>
    </r>
    <r>
      <rPr>
        <sz val="8"/>
        <rFont val="Arial"/>
        <family val="2"/>
        <charset val="177"/>
      </rPr>
      <t>(3)</t>
    </r>
  </si>
  <si>
    <t>*</t>
  </si>
  <si>
    <t>עומס מלוות לפרעון (משוערך) לשנים הקרובות</t>
  </si>
  <si>
    <t>לא הוזן נתון לעומס מלוות לפרעון (משוערך) לשנים הבאות בתקופת הדוח</t>
  </si>
  <si>
    <t>לא הוזן נתון לעומס מלוות לפרעון (משוערך) לשנים הבאות בשנה קודמת</t>
  </si>
  <si>
    <t>גביה וחיבים</t>
  </si>
  <si>
    <t>גביה בשנת הדוח - גביה מראש לשנה</t>
  </si>
  <si>
    <t>הכנסות מראש בטופס 5 גבוהות מהכנסות מראש בטופס 1 בתקופת הדוח</t>
  </si>
  <si>
    <t>השקעות במימון קרנות מתוקצבות בתקופת הדוח שונה מסה"כ קרנות מתוקצבות בתקופת הדוח</t>
  </si>
  <si>
    <t>השקעות במימון קרנות מתוקצבות בשנה הקודמת שונה מסה"כ קרנות מתוקצבות בשנה הקודמת</t>
  </si>
  <si>
    <t>נתוני עודף / גרעון בתקופת הדוח מופיעים גם בצד נכסים וגם בצד התחיבויות</t>
  </si>
  <si>
    <t>נתוני עודף / גרעון בשנה הקודמת מופיעים גם בצד נכסים וגם בצד התחיבויות</t>
  </si>
  <si>
    <t>הפרשה בגין תביעות תלויות</t>
  </si>
  <si>
    <t>ספקים וזכאים</t>
  </si>
  <si>
    <t>הפרשה בגין תביעות תלויות גבוהה מספקים וזכאים בתקופת הדוח</t>
  </si>
  <si>
    <t>מענקים לכיסוי הגירעון</t>
  </si>
  <si>
    <t>אין התאמה בין המענק לכיסוי גירעון הרשום במאזן למענק הרשום בטופס 2</t>
  </si>
  <si>
    <t>טופס 2</t>
  </si>
  <si>
    <t>סה"כ הכנסות (תקציב)</t>
  </si>
  <si>
    <t>סה"כ הוצאות (תקציב)</t>
  </si>
  <si>
    <t>סה"כ הכנסות שונה מסה"כ הוצאות</t>
  </si>
  <si>
    <t>סה"כ הוצאות צריך להיות גדול מ - 0</t>
  </si>
  <si>
    <t>סה"כ הכנסות צריך להיות גדול מ - 0</t>
  </si>
  <si>
    <t>הכנסות מארנונה כללית</t>
  </si>
  <si>
    <t>גבייה וחייבים</t>
  </si>
  <si>
    <t>ההכנסות מארנונה כללית בטופס 2 שונות מהרישום בטופס 5</t>
  </si>
  <si>
    <t>הכנסות ממפעל המים</t>
  </si>
  <si>
    <t>הכנסות מפעל המים בטופס 2 שונות מהרישום בטופס 5</t>
  </si>
  <si>
    <t>גבייה מפיגורים לכיסוי גרעון תקציב רגיל</t>
  </si>
  <si>
    <t>גבייה מפיגורים לכיסוי גרעון סופי בתב"ר</t>
  </si>
  <si>
    <t>אין התאמה בין סך ההכנסות לפי טופס 5 להכנסות הרשומות בטפסים 1 ו - 2</t>
  </si>
  <si>
    <t>הנחות מארנונה (הכנסות)</t>
  </si>
  <si>
    <t>מ"א עמק הירדן</t>
  </si>
  <si>
    <t>גזבר</t>
  </si>
  <si>
    <t>57284580</t>
  </si>
  <si>
    <t>מנכ"ל</t>
  </si>
  <si>
    <t>22097224</t>
  </si>
  <si>
    <t>עובד תברואה</t>
  </si>
  <si>
    <t>55269195</t>
  </si>
  <si>
    <t>52529369</t>
  </si>
  <si>
    <t>מנהל אגף שפ"ע</t>
  </si>
  <si>
    <t>57510083</t>
  </si>
  <si>
    <t>57511164</t>
  </si>
  <si>
    <t>53520284</t>
  </si>
  <si>
    <t>57510711</t>
  </si>
  <si>
    <t>מהנדס</t>
  </si>
  <si>
    <t>56735525</t>
  </si>
  <si>
    <t>מנהל אגף כלכלי</t>
  </si>
  <si>
    <t>54004254</t>
  </si>
  <si>
    <t>יש התאמה המבאירה את ההפרש בין השכר בטופס 2 לשכר לפי דו"חות 66 בטופס "שכר ומשרות".</t>
  </si>
  <si>
    <t>לפי הערה 2 בגליון הערות.</t>
  </si>
  <si>
    <t>לפי הערה 1 בגליון הערות.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</si>
</sst>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&quot;$&quot;* #,##0_);_(&quot;$&quot;* \(#,##0\);_(&quot;$&quot;* &quot;-&quot;_);_(@_)"/>
    <numFmt numFmtId="165" formatCode="#,##0;\(#,##0\)"/>
    <numFmt numFmtId="166" formatCode="_-&quot;$&quot;* #,##0.000_-;\-&quot;$&quot;* #,##0.000_-;_-&quot;$&quot;* &quot;-&quot;??_-;_-@_-"/>
    <numFmt numFmtId="167" formatCode="[Blue]&quot;*&quot;* #,##0_ ;[Red]&quot;*&quot;* _ \(#,##0\);\ \ \ \ &quot;-&quot;"/>
    <numFmt numFmtId="168" formatCode="[Blue]&quot;**&quot;* #,##0_ ;[Red]&quot;**&quot;* _ \(#,##0\);\ \ \ \ &quot;-     **&quot;"/>
    <numFmt numFmtId="169" formatCode="[Blue]&quot;[1]&quot;* #,##0_ ;[Red]&quot;[1]&quot;* _ \(#,##0\);\ \ \ \ &quot;-     [1]&quot;"/>
    <numFmt numFmtId="170" formatCode="[Blue]&quot;[2]&quot;* #,##0_ ;[Red]&quot;[2]&quot;* _ \(#,##0\);\ \ \ \ &quot;-     [2]&quot;"/>
    <numFmt numFmtId="171" formatCode="[Blue]&quot;[3]&quot;* #,##0_ ;[Red]&quot;[3]&quot;* _ \(#,##0\);\ \ \ \ &quot;-     [3]&quot;"/>
    <numFmt numFmtId="172" formatCode="[Blue]&quot;[4]&quot;* #,##0_ ;[Red]&quot;[4]&quot;* _ \(#,##0\);\ \ \ \ &quot;-     [4]&quot;"/>
    <numFmt numFmtId="173" formatCode="[Blue]&quot;[5]&quot;* #,##0_ ;[Red]&quot;[5]&quot;* _ \(#,##0\);\ \ \ \ &quot;-     [5]&quot;"/>
    <numFmt numFmtId="174" formatCode="#,##0%;\(#,##0\)%"/>
    <numFmt numFmtId="175" formatCode="#,##0.00%;\(#,##0.00\)%"/>
    <numFmt numFmtId="176" formatCode="#,##0_ ;[Red]\-#,##0\ "/>
    <numFmt numFmtId="177" formatCode="0.000_);\(0.000\)"/>
    <numFmt numFmtId="178" formatCode="0.0000"/>
    <numFmt numFmtId="179" formatCode="#,##0.000;\(#,##0.000\);\-\-\-"/>
  </numFmts>
  <fonts count="60" x14ac:knownFonts="1">
    <font>
      <sz val="10"/>
      <name val="Arial"/>
      <charset val="177"/>
    </font>
    <font>
      <sz val="10"/>
      <name val="Arial"/>
      <charset val="177"/>
    </font>
    <font>
      <sz val="11"/>
      <name val="David"/>
      <charset val="177"/>
    </font>
    <font>
      <sz val="12"/>
      <name val="David"/>
      <charset val="177"/>
    </font>
    <font>
      <sz val="10"/>
      <name val="Arial"/>
      <charset val="177"/>
    </font>
    <font>
      <sz val="10"/>
      <color indexed="8"/>
      <name val="MS Sans Serif"/>
      <charset val="177"/>
    </font>
    <font>
      <sz val="8"/>
      <name val="Arial"/>
      <family val="2"/>
      <charset val="177"/>
    </font>
    <font>
      <u/>
      <sz val="10"/>
      <color indexed="12"/>
      <name val="Arial"/>
      <charset val="177"/>
    </font>
    <font>
      <b/>
      <sz val="18"/>
      <name val="David"/>
      <charset val="177"/>
    </font>
    <font>
      <b/>
      <sz val="12"/>
      <name val="David"/>
      <charset val="177"/>
    </font>
    <font>
      <b/>
      <sz val="11"/>
      <name val="David Transparent"/>
      <charset val="177"/>
    </font>
    <font>
      <b/>
      <u/>
      <sz val="14"/>
      <name val="David"/>
      <charset val="177"/>
    </font>
    <font>
      <b/>
      <u/>
      <sz val="12"/>
      <name val="David"/>
      <charset val="177"/>
    </font>
    <font>
      <b/>
      <u/>
      <sz val="11"/>
      <color indexed="8"/>
      <name val="David"/>
      <charset val="177"/>
    </font>
    <font>
      <sz val="8"/>
      <name val="Arial (Hebrew)"/>
      <family val="2"/>
      <charset val="177"/>
    </font>
    <font>
      <u/>
      <sz val="10"/>
      <name val="Arial"/>
      <family val="2"/>
      <charset val="177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sz val="12"/>
      <color indexed="26"/>
      <name val="Arial"/>
      <family val="2"/>
      <charset val="177"/>
    </font>
    <font>
      <b/>
      <u/>
      <sz val="10"/>
      <name val="Arial"/>
      <family val="2"/>
      <charset val="177"/>
    </font>
    <font>
      <b/>
      <sz val="12"/>
      <color indexed="9"/>
      <name val="Arial"/>
      <family val="2"/>
      <charset val="177"/>
    </font>
    <font>
      <b/>
      <u/>
      <sz val="10"/>
      <color indexed="8"/>
      <name val="Arial"/>
      <family val="2"/>
      <charset val="177"/>
    </font>
    <font>
      <b/>
      <u/>
      <sz val="12"/>
      <color indexed="56"/>
      <name val="Arial"/>
      <family val="2"/>
      <charset val="177"/>
    </font>
    <font>
      <b/>
      <u/>
      <sz val="12"/>
      <color indexed="9"/>
      <name val="Arial"/>
      <family val="2"/>
      <charset val="177"/>
    </font>
    <font>
      <b/>
      <sz val="10"/>
      <color indexed="10"/>
      <name val="Arial"/>
      <family val="2"/>
      <charset val="177"/>
    </font>
    <font>
      <sz val="10"/>
      <color indexed="12"/>
      <name val="Arial"/>
      <family val="2"/>
      <charset val="177"/>
    </font>
    <font>
      <sz val="10"/>
      <color indexed="26"/>
      <name val="Arial"/>
      <family val="2"/>
      <charset val="177"/>
    </font>
    <font>
      <b/>
      <sz val="14"/>
      <color indexed="9"/>
      <name val="Arial"/>
      <family val="2"/>
      <charset val="177"/>
    </font>
    <font>
      <b/>
      <sz val="12"/>
      <name val="Arial (Hebrew)"/>
      <family val="2"/>
      <charset val="177"/>
    </font>
    <font>
      <b/>
      <u/>
      <sz val="10"/>
      <color indexed="8"/>
      <name val="Arial (Hebrew)"/>
      <family val="2"/>
      <charset val="177"/>
    </font>
    <font>
      <b/>
      <sz val="14"/>
      <name val="Arial"/>
      <family val="2"/>
      <charset val="177"/>
    </font>
    <font>
      <b/>
      <u/>
      <sz val="10"/>
      <name val="Arial (Hebrew)"/>
      <family val="2"/>
      <charset val="177"/>
    </font>
    <font>
      <sz val="9"/>
      <name val="Arial"/>
      <family val="2"/>
      <charset val="177"/>
    </font>
    <font>
      <sz val="11"/>
      <color indexed="81"/>
      <name val="Arial"/>
      <family val="2"/>
      <charset val="177"/>
    </font>
    <font>
      <u/>
      <sz val="11"/>
      <color indexed="81"/>
      <name val="Arial"/>
      <family val="2"/>
      <charset val="177"/>
    </font>
    <font>
      <sz val="8"/>
      <color indexed="81"/>
      <name val="Tahoma"/>
      <charset val="177"/>
    </font>
    <font>
      <sz val="10"/>
      <name val="Arial (Hebrew)"/>
      <family val="2"/>
      <charset val="177"/>
    </font>
    <font>
      <u/>
      <sz val="10"/>
      <name val="Arial"/>
      <charset val="177"/>
    </font>
    <font>
      <sz val="10"/>
      <color indexed="63"/>
      <name val="Arial"/>
      <family val="2"/>
      <charset val="177"/>
    </font>
    <font>
      <b/>
      <sz val="14"/>
      <color indexed="56"/>
      <name val="Arial"/>
      <family val="2"/>
      <charset val="177"/>
    </font>
    <font>
      <b/>
      <sz val="12"/>
      <name val="Arial"/>
      <family val="2"/>
      <charset val="177"/>
    </font>
    <font>
      <b/>
      <sz val="8"/>
      <name val="Arial"/>
      <family val="2"/>
      <charset val="177"/>
    </font>
    <font>
      <b/>
      <sz val="11"/>
      <name val="Arial"/>
      <family val="2"/>
      <charset val="177"/>
    </font>
    <font>
      <b/>
      <sz val="10"/>
      <color indexed="18"/>
      <name val="Arial"/>
      <family val="2"/>
      <charset val="177"/>
    </font>
    <font>
      <sz val="11"/>
      <color indexed="81"/>
      <name val="Arial (Hebrew)"/>
      <family val="2"/>
      <charset val="177"/>
    </font>
    <font>
      <sz val="10"/>
      <color indexed="8"/>
      <name val="Arial (Hebrew)"/>
      <family val="2"/>
      <charset val="177"/>
    </font>
    <font>
      <u/>
      <sz val="10"/>
      <color indexed="8"/>
      <name val="Arial (Hebrew)"/>
      <family val="2"/>
      <charset val="177"/>
    </font>
    <font>
      <sz val="10"/>
      <color indexed="8"/>
      <name val="Arial"/>
      <charset val="177"/>
    </font>
    <font>
      <b/>
      <u/>
      <sz val="11"/>
      <color indexed="9"/>
      <name val="Arial (Hebrew)"/>
      <family val="2"/>
      <charset val="177"/>
    </font>
    <font>
      <sz val="10"/>
      <color indexed="9"/>
      <name val="Arial"/>
      <family val="2"/>
      <charset val="177"/>
    </font>
    <font>
      <b/>
      <u/>
      <sz val="11"/>
      <name val="Arial (Hebrew)"/>
      <family val="2"/>
      <charset val="177"/>
    </font>
    <font>
      <sz val="12"/>
      <color indexed="81"/>
      <name val="Arial"/>
      <family val="2"/>
      <charset val="177"/>
    </font>
    <font>
      <u/>
      <sz val="12"/>
      <color indexed="81"/>
      <name val="Arial"/>
      <family val="2"/>
      <charset val="177"/>
    </font>
    <font>
      <b/>
      <sz val="12"/>
      <color indexed="10"/>
      <name val="Arial"/>
      <family val="2"/>
      <charset val="177"/>
    </font>
    <font>
      <sz val="10"/>
      <color indexed="62"/>
      <name val="Arial"/>
      <family val="2"/>
      <charset val="177"/>
    </font>
    <font>
      <b/>
      <sz val="10"/>
      <color indexed="62"/>
      <name val="Arial"/>
      <family val="2"/>
      <charset val="177"/>
    </font>
    <font>
      <b/>
      <sz val="9"/>
      <color indexed="62"/>
      <name val="Arial"/>
      <family val="2"/>
      <charset val="177"/>
    </font>
    <font>
      <sz val="8"/>
      <name val="Arial"/>
      <charset val="177"/>
    </font>
    <font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darkUp">
        <bgColor indexed="42"/>
      </patternFill>
    </fill>
    <fill>
      <patternFill patternType="darkUp">
        <bgColor indexed="29"/>
      </patternFill>
    </fill>
  </fills>
  <borders count="100">
    <border>
      <left/>
      <right/>
      <top/>
      <bottom/>
      <diagonal/>
    </border>
    <border>
      <left style="thin">
        <color indexed="36"/>
      </left>
      <right style="thin">
        <color indexed="36"/>
      </right>
      <top style="thin">
        <color indexed="36"/>
      </top>
      <bottom style="thin">
        <color indexed="36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59"/>
      </top>
      <bottom style="double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/>
      <diagonal/>
    </border>
    <border>
      <left style="thick">
        <color indexed="56"/>
      </left>
      <right style="thick">
        <color indexed="56"/>
      </right>
      <top style="thick">
        <color indexed="56"/>
      </top>
      <bottom style="thick">
        <color indexed="56"/>
      </bottom>
      <diagonal/>
    </border>
    <border>
      <left/>
      <right style="thick">
        <color indexed="56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58"/>
      </top>
      <bottom style="dashed">
        <color indexed="58"/>
      </bottom>
      <diagonal/>
    </border>
    <border>
      <left style="thick">
        <color indexed="56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/>
      <top style="thin">
        <color indexed="54"/>
      </top>
      <bottom/>
      <diagonal/>
    </border>
    <border>
      <left/>
      <right/>
      <top style="thick">
        <color indexed="56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/>
      <bottom style="thick">
        <color indexed="56"/>
      </bottom>
      <diagonal/>
    </border>
    <border>
      <left/>
      <right style="thick">
        <color indexed="56"/>
      </right>
      <top/>
      <bottom style="thick">
        <color indexed="56"/>
      </bottom>
      <diagonal/>
    </border>
    <border>
      <left/>
      <right/>
      <top/>
      <bottom style="dashed">
        <color indexed="54"/>
      </bottom>
      <diagonal/>
    </border>
    <border>
      <left/>
      <right/>
      <top/>
      <bottom style="thin">
        <color indexed="36"/>
      </bottom>
      <diagonal/>
    </border>
    <border>
      <left/>
      <right/>
      <top style="thin">
        <color indexed="36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n">
        <color indexed="34"/>
      </bottom>
      <diagonal/>
    </border>
    <border>
      <left/>
      <right/>
      <top style="thin">
        <color indexed="34"/>
      </top>
      <bottom style="thin">
        <color indexed="34"/>
      </bottom>
      <diagonal/>
    </border>
    <border>
      <left/>
      <right/>
      <top style="thin">
        <color indexed="34"/>
      </top>
      <bottom style="dashed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58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indexed="58"/>
      </bottom>
      <diagonal/>
    </border>
    <border>
      <left style="thick">
        <color indexed="54"/>
      </left>
      <right/>
      <top style="thin">
        <color indexed="54"/>
      </top>
      <bottom style="thin">
        <color indexed="54"/>
      </bottom>
      <diagonal/>
    </border>
    <border>
      <left style="thick">
        <color indexed="54"/>
      </left>
      <right style="thin">
        <color indexed="36"/>
      </right>
      <top style="thin">
        <color indexed="54"/>
      </top>
      <bottom style="thin">
        <color indexed="36"/>
      </bottom>
      <diagonal/>
    </border>
    <border>
      <left style="thick">
        <color indexed="54"/>
      </left>
      <right/>
      <top style="thin">
        <color indexed="54"/>
      </top>
      <bottom style="thin">
        <color indexed="36"/>
      </bottom>
      <diagonal/>
    </border>
    <border>
      <left/>
      <right/>
      <top style="thin">
        <color indexed="54"/>
      </top>
      <bottom style="thin">
        <color indexed="36"/>
      </bottom>
      <diagonal/>
    </border>
    <border>
      <left style="thick">
        <color indexed="54"/>
      </left>
      <right style="thin">
        <color indexed="36"/>
      </right>
      <top style="thin">
        <color indexed="36"/>
      </top>
      <bottom style="thin">
        <color indexed="36"/>
      </bottom>
      <diagonal/>
    </border>
    <border>
      <left style="thick">
        <color indexed="54"/>
      </left>
      <right/>
      <top style="thin">
        <color indexed="36"/>
      </top>
      <bottom style="thin">
        <color indexed="36"/>
      </bottom>
      <diagonal/>
    </border>
    <border>
      <left/>
      <right/>
      <top style="thin">
        <color indexed="36"/>
      </top>
      <bottom style="thin">
        <color indexed="36"/>
      </bottom>
      <diagonal/>
    </border>
    <border>
      <left style="thin">
        <color indexed="36"/>
      </left>
      <right/>
      <top style="thin">
        <color indexed="36"/>
      </top>
      <bottom style="thin">
        <color indexed="36"/>
      </bottom>
      <diagonal/>
    </border>
    <border>
      <left style="thick">
        <color indexed="54"/>
      </left>
      <right/>
      <top/>
      <bottom style="thin">
        <color indexed="36"/>
      </bottom>
      <diagonal/>
    </border>
    <border>
      <left style="thin">
        <color indexed="36"/>
      </left>
      <right style="thick">
        <color indexed="54"/>
      </right>
      <top style="thin">
        <color indexed="36"/>
      </top>
      <bottom style="thin">
        <color indexed="36"/>
      </bottom>
      <diagonal/>
    </border>
    <border>
      <left/>
      <right style="thin">
        <color indexed="54"/>
      </right>
      <top style="thin">
        <color indexed="36"/>
      </top>
      <bottom style="thin">
        <color indexed="36"/>
      </bottom>
      <diagonal/>
    </border>
    <border>
      <left style="thin">
        <color indexed="36"/>
      </left>
      <right style="thick">
        <color indexed="54"/>
      </right>
      <top style="thin">
        <color indexed="36"/>
      </top>
      <bottom/>
      <diagonal/>
    </border>
    <border>
      <left/>
      <right style="thin">
        <color indexed="54"/>
      </right>
      <top style="thin">
        <color indexed="36"/>
      </top>
      <bottom/>
      <diagonal/>
    </border>
    <border>
      <left style="thin">
        <color indexed="36"/>
      </left>
      <right style="thick">
        <color indexed="54"/>
      </right>
      <top/>
      <bottom style="thin">
        <color indexed="36"/>
      </bottom>
      <diagonal/>
    </border>
    <border>
      <left style="thin">
        <color indexed="36"/>
      </left>
      <right style="thin">
        <color indexed="36"/>
      </right>
      <top/>
      <bottom style="thin">
        <color indexed="36"/>
      </bottom>
      <diagonal/>
    </border>
    <border>
      <left style="thin">
        <color indexed="36"/>
      </left>
      <right style="thin">
        <color indexed="36"/>
      </right>
      <top style="thin">
        <color indexed="36"/>
      </top>
      <bottom/>
      <diagonal/>
    </border>
    <border>
      <left style="thick">
        <color indexed="54"/>
      </left>
      <right style="thin">
        <color indexed="36"/>
      </right>
      <top style="thin">
        <color indexed="36"/>
      </top>
      <bottom/>
      <diagonal/>
    </border>
    <border>
      <left style="thick">
        <color indexed="54"/>
      </left>
      <right/>
      <top style="thin">
        <color indexed="36"/>
      </top>
      <bottom/>
      <diagonal/>
    </border>
    <border>
      <left/>
      <right/>
      <top style="thin">
        <color indexed="36"/>
      </top>
      <bottom/>
      <diagonal/>
    </border>
    <border>
      <left style="thin">
        <color indexed="36"/>
      </left>
      <right style="thin">
        <color indexed="36"/>
      </right>
      <top style="thin">
        <color indexed="54"/>
      </top>
      <bottom style="thin">
        <color indexed="36"/>
      </bottom>
      <diagonal/>
    </border>
    <border>
      <left style="thin">
        <color indexed="36"/>
      </left>
      <right style="thick">
        <color indexed="54"/>
      </right>
      <top style="thin">
        <color indexed="54"/>
      </top>
      <bottom style="thin">
        <color indexed="36"/>
      </bottom>
      <diagonal/>
    </border>
    <border>
      <left/>
      <right style="thin">
        <color indexed="36"/>
      </right>
      <top style="thin">
        <color indexed="36"/>
      </top>
      <bottom style="thin">
        <color indexed="36"/>
      </bottom>
      <diagonal/>
    </border>
    <border>
      <left style="thin">
        <color indexed="36"/>
      </left>
      <right style="thin">
        <color indexed="36"/>
      </right>
      <top style="thin">
        <color indexed="36"/>
      </top>
      <bottom style="thin">
        <color indexed="54"/>
      </bottom>
      <diagonal/>
    </border>
    <border>
      <left style="thin">
        <color indexed="36"/>
      </left>
      <right style="thick">
        <color indexed="54"/>
      </right>
      <top style="thin">
        <color indexed="36"/>
      </top>
      <bottom style="thin">
        <color indexed="54"/>
      </bottom>
      <diagonal/>
    </border>
    <border>
      <left style="thick">
        <color indexed="54"/>
      </left>
      <right style="thin">
        <color indexed="36"/>
      </right>
      <top style="thin">
        <color indexed="36"/>
      </top>
      <bottom style="thin">
        <color indexed="54"/>
      </bottom>
      <diagonal/>
    </border>
    <border>
      <left style="thick">
        <color indexed="54"/>
      </left>
      <right/>
      <top style="thin">
        <color indexed="36"/>
      </top>
      <bottom style="thin">
        <color indexed="54"/>
      </bottom>
      <diagonal/>
    </border>
    <border>
      <left/>
      <right/>
      <top style="thin">
        <color indexed="36"/>
      </top>
      <bottom style="thin">
        <color indexed="54"/>
      </bottom>
      <diagonal/>
    </border>
    <border>
      <left style="thin">
        <color indexed="36"/>
      </left>
      <right style="thin">
        <color indexed="54"/>
      </right>
      <top style="thin">
        <color indexed="36"/>
      </top>
      <bottom style="thin">
        <color indexed="36"/>
      </bottom>
      <diagonal/>
    </border>
    <border>
      <left style="thin">
        <color indexed="54"/>
      </left>
      <right style="thin">
        <color indexed="36"/>
      </right>
      <top style="thin">
        <color indexed="54"/>
      </top>
      <bottom style="thin">
        <color indexed="36"/>
      </bottom>
      <diagonal/>
    </border>
    <border>
      <left style="thin">
        <color indexed="54"/>
      </left>
      <right style="thin">
        <color indexed="36"/>
      </right>
      <top/>
      <bottom style="thin">
        <color indexed="36"/>
      </bottom>
      <diagonal/>
    </border>
    <border>
      <left style="thick">
        <color indexed="54"/>
      </left>
      <right style="thin">
        <color indexed="36"/>
      </right>
      <top/>
      <bottom style="thin">
        <color indexed="36"/>
      </bottom>
      <diagonal/>
    </border>
    <border>
      <left style="thin">
        <color indexed="54"/>
      </left>
      <right style="thin">
        <color indexed="36"/>
      </right>
      <top style="thin">
        <color indexed="36"/>
      </top>
      <bottom/>
      <diagonal/>
    </border>
    <border>
      <left/>
      <right style="thin">
        <color indexed="36"/>
      </right>
      <top style="thin">
        <color indexed="36"/>
      </top>
      <bottom/>
      <diagonal/>
    </border>
    <border>
      <left style="thin">
        <color indexed="36"/>
      </left>
      <right style="thick">
        <color indexed="62"/>
      </right>
      <top style="thin">
        <color indexed="64"/>
      </top>
      <bottom style="thin">
        <color indexed="36"/>
      </bottom>
      <diagonal/>
    </border>
    <border>
      <left style="thin">
        <color indexed="54"/>
      </left>
      <right style="thin">
        <color indexed="36"/>
      </right>
      <top style="thin">
        <color indexed="36"/>
      </top>
      <bottom style="thin">
        <color indexed="54"/>
      </bottom>
      <diagonal/>
    </border>
    <border>
      <left/>
      <right style="thin">
        <color indexed="54"/>
      </right>
      <top style="thin">
        <color indexed="36"/>
      </top>
      <bottom style="thin">
        <color indexed="54"/>
      </bottom>
      <diagonal/>
    </border>
    <border>
      <left style="thin">
        <color indexed="36"/>
      </left>
      <right style="thick">
        <color indexed="54"/>
      </right>
      <top style="thin">
        <color indexed="9"/>
      </top>
      <bottom style="thin">
        <color indexed="54"/>
      </bottom>
      <diagonal/>
    </border>
    <border>
      <left style="thin">
        <color indexed="36"/>
      </left>
      <right style="thick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36"/>
      </left>
      <right style="thin">
        <color indexed="36"/>
      </right>
      <top/>
      <bottom/>
      <diagonal/>
    </border>
    <border>
      <left style="thin">
        <color indexed="54"/>
      </left>
      <right style="thin">
        <color indexed="36"/>
      </right>
      <top style="thin">
        <color indexed="36"/>
      </top>
      <bottom style="thin">
        <color indexed="36"/>
      </bottom>
      <diagonal/>
    </border>
    <border>
      <left/>
      <right/>
      <top style="thin">
        <color indexed="62"/>
      </top>
      <bottom/>
      <diagonal/>
    </border>
    <border>
      <left style="thin">
        <color indexed="54"/>
      </left>
      <right/>
      <top style="thin">
        <color indexed="62"/>
      </top>
      <bottom/>
      <diagonal/>
    </border>
    <border>
      <left/>
      <right style="thin">
        <color indexed="54"/>
      </right>
      <top style="thin">
        <color indexed="9"/>
      </top>
      <bottom/>
      <diagonal/>
    </border>
    <border>
      <left/>
      <right style="thin">
        <color indexed="54"/>
      </right>
      <top style="thin">
        <color indexed="59"/>
      </top>
      <bottom style="double">
        <color indexed="5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6"/>
      </left>
      <right style="thin">
        <color indexed="54"/>
      </right>
      <top style="thin">
        <color indexed="54"/>
      </top>
      <bottom style="thin">
        <color indexed="36"/>
      </bottom>
      <diagonal/>
    </border>
    <border>
      <left style="thin">
        <color indexed="36"/>
      </left>
      <right style="thin">
        <color indexed="54"/>
      </right>
      <top style="thin">
        <color indexed="36"/>
      </top>
      <bottom/>
      <diagonal/>
    </border>
    <border>
      <left style="thin">
        <color indexed="36"/>
      </left>
      <right style="thin">
        <color indexed="54"/>
      </right>
      <top/>
      <bottom style="thin">
        <color indexed="36"/>
      </bottom>
      <diagonal/>
    </border>
    <border>
      <left style="thin">
        <color indexed="36"/>
      </left>
      <right style="thin">
        <color indexed="54"/>
      </right>
      <top style="thin">
        <color indexed="36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/>
      <right style="thick">
        <color indexed="54"/>
      </right>
      <top style="thin">
        <color indexed="54"/>
      </top>
      <bottom style="thin">
        <color indexed="54"/>
      </bottom>
      <diagonal/>
    </border>
    <border>
      <left style="thick">
        <color indexed="56"/>
      </left>
      <right/>
      <top style="thick">
        <color indexed="56"/>
      </top>
      <bottom style="thick">
        <color indexed="56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/>
      <right style="thick">
        <color indexed="56"/>
      </right>
      <top style="thick">
        <color indexed="56"/>
      </top>
      <bottom style="thick">
        <color indexed="56"/>
      </bottom>
      <diagonal/>
    </border>
  </borders>
  <cellStyleXfs count="41">
    <xf numFmtId="0" fontId="0" fillId="0" borderId="0"/>
    <xf numFmtId="167" fontId="2" fillId="0" borderId="0">
      <alignment readingOrder="2"/>
    </xf>
    <xf numFmtId="168" fontId="3" fillId="0" borderId="0">
      <alignment readingOrder="2"/>
    </xf>
    <xf numFmtId="169" fontId="3" fillId="0" borderId="0">
      <alignment readingOrder="2"/>
    </xf>
    <xf numFmtId="170" fontId="3" fillId="0" borderId="0">
      <alignment readingOrder="2"/>
    </xf>
    <xf numFmtId="171" fontId="3" fillId="0" borderId="0">
      <alignment readingOrder="2"/>
    </xf>
    <xf numFmtId="172" fontId="3" fillId="0" borderId="0">
      <alignment readingOrder="2"/>
    </xf>
    <xf numFmtId="173" fontId="3" fillId="0" borderId="0">
      <alignment readingOrder="2"/>
    </xf>
    <xf numFmtId="165" fontId="16" fillId="2" borderId="1" applyFont="0" applyBorder="0">
      <alignment horizontal="right" vertical="center" wrapText="1"/>
    </xf>
    <xf numFmtId="165" fontId="4" fillId="2" borderId="2" applyBorder="0" applyAlignment="0"/>
    <xf numFmtId="174" fontId="4" fillId="2" borderId="2"/>
    <xf numFmtId="164" fontId="5" fillId="0" borderId="0" applyFont="0" applyFill="0" applyBorder="0" applyAlignment="0" applyProtection="0"/>
    <xf numFmtId="0" fontId="16" fillId="2" borderId="0"/>
    <xf numFmtId="165" fontId="4" fillId="3" borderId="3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0" fontId="6" fillId="5" borderId="4" applyNumberFormat="0" applyBorder="0" applyAlignment="0" applyProtection="0"/>
    <xf numFmtId="165" fontId="4" fillId="6" borderId="2">
      <protection locked="0"/>
    </xf>
    <xf numFmtId="0" fontId="16" fillId="7" borderId="0">
      <alignment horizontal="right" vertical="center" readingOrder="2"/>
    </xf>
    <xf numFmtId="0" fontId="18" fillId="8" borderId="5">
      <alignment horizontal="center" vertical="center" wrapText="1"/>
      <protection hidden="1"/>
    </xf>
    <xf numFmtId="0" fontId="1" fillId="7" borderId="6">
      <protection hidden="1"/>
    </xf>
    <xf numFmtId="0" fontId="16" fillId="7" borderId="7">
      <alignment horizontal="right" vertical="center" readingOrder="2"/>
    </xf>
    <xf numFmtId="0" fontId="30" fillId="7" borderId="7" applyBorder="0">
      <alignment horizontal="right" vertical="center"/>
    </xf>
    <xf numFmtId="0" fontId="29" fillId="7" borderId="7">
      <alignment horizontal="right" vertical="center" wrapText="1"/>
    </xf>
    <xf numFmtId="0" fontId="28" fillId="9" borderId="8">
      <alignment horizontal="center" vertical="center"/>
      <protection hidden="1"/>
    </xf>
    <xf numFmtId="166" fontId="4" fillId="0" borderId="0"/>
    <xf numFmtId="0" fontId="4" fillId="0" borderId="0"/>
    <xf numFmtId="0" fontId="4" fillId="0" borderId="0"/>
    <xf numFmtId="0" fontId="27" fillId="5" borderId="0"/>
    <xf numFmtId="0" fontId="1" fillId="5" borderId="9">
      <protection hidden="1"/>
    </xf>
    <xf numFmtId="10" fontId="4" fillId="0" borderId="0" applyFont="0" applyFill="0" applyBorder="0" applyAlignment="0" applyProtection="0"/>
    <xf numFmtId="176" fontId="4" fillId="5" borderId="10">
      <alignment vertical="center"/>
    </xf>
    <xf numFmtId="165" fontId="4" fillId="5" borderId="11"/>
    <xf numFmtId="174" fontId="4" fillId="5" borderId="12"/>
    <xf numFmtId="0" fontId="8" fillId="0" borderId="0">
      <alignment horizontal="centerContinuous" readingOrder="2"/>
    </xf>
    <xf numFmtId="0" fontId="9" fillId="0" borderId="0">
      <alignment horizontal="right" vertical="center" readingOrder="2"/>
    </xf>
    <xf numFmtId="0" fontId="10" fillId="0" borderId="0">
      <alignment horizontal="right" vertical="center" readingOrder="2"/>
    </xf>
    <xf numFmtId="0" fontId="11" fillId="0" borderId="0">
      <alignment horizontal="right" vertical="center" readingOrder="2"/>
    </xf>
    <xf numFmtId="0" fontId="12" fillId="0" borderId="0">
      <alignment readingOrder="2"/>
    </xf>
    <xf numFmtId="0" fontId="13" fillId="0" borderId="0">
      <alignment readingOrder="2"/>
    </xf>
    <xf numFmtId="14" fontId="14" fillId="0" borderId="0">
      <alignment readingOrder="2"/>
    </xf>
  </cellStyleXfs>
  <cellXfs count="658">
    <xf numFmtId="0" fontId="0" fillId="0" borderId="0" xfId="0"/>
    <xf numFmtId="0" fontId="16" fillId="4" borderId="0" xfId="26" applyFont="1" applyFill="1" applyAlignment="1" applyProtection="1">
      <alignment horizontal="right" vertical="center" readingOrder="2"/>
    </xf>
    <xf numFmtId="0" fontId="23" fillId="9" borderId="0" xfId="26" applyFont="1" applyFill="1" applyAlignment="1" applyProtection="1">
      <alignment horizontal="right" vertical="center" readingOrder="2"/>
    </xf>
    <xf numFmtId="0" fontId="24" fillId="9" borderId="0" xfId="26" applyFont="1" applyFill="1" applyAlignment="1" applyProtection="1">
      <alignment horizontal="right" vertical="center" readingOrder="2"/>
    </xf>
    <xf numFmtId="0" fontId="16" fillId="4" borderId="13" xfId="26" applyFont="1" applyFill="1" applyBorder="1" applyAlignment="1" applyProtection="1">
      <alignment horizontal="right" vertical="center" readingOrder="2"/>
    </xf>
    <xf numFmtId="0" fontId="15" fillId="5" borderId="0" xfId="15" applyFont="1" applyFill="1" applyAlignment="1" applyProtection="1">
      <alignment horizontal="right" vertical="center" readingOrder="2"/>
    </xf>
    <xf numFmtId="0" fontId="15" fillId="5" borderId="0" xfId="15" applyFont="1" applyFill="1" applyBorder="1" applyAlignment="1" applyProtection="1">
      <alignment horizontal="right" vertical="center" wrapText="1" readingOrder="2"/>
    </xf>
    <xf numFmtId="0" fontId="4" fillId="5" borderId="0" xfId="26" applyFill="1" applyAlignment="1">
      <alignment vertical="center" readingOrder="2"/>
    </xf>
    <xf numFmtId="0" fontId="21" fillId="5" borderId="0" xfId="26" applyFont="1" applyFill="1" applyBorder="1" applyAlignment="1" applyProtection="1">
      <alignment horizontal="center" vertical="center" readingOrder="2"/>
    </xf>
    <xf numFmtId="0" fontId="24" fillId="5" borderId="0" xfId="26" applyFont="1" applyFill="1" applyAlignment="1" applyProtection="1">
      <alignment horizontal="right" vertical="center" readingOrder="2"/>
    </xf>
    <xf numFmtId="0" fontId="19" fillId="5" borderId="0" xfId="26" applyFont="1" applyFill="1" applyAlignment="1" applyProtection="1">
      <alignment horizontal="right" vertical="center" readingOrder="2"/>
    </xf>
    <xf numFmtId="0" fontId="16" fillId="5" borderId="0" xfId="26" applyFont="1" applyFill="1" applyAlignment="1" applyProtection="1">
      <alignment horizontal="right" vertical="center" readingOrder="2"/>
    </xf>
    <xf numFmtId="0" fontId="16" fillId="5" borderId="0" xfId="26" applyFont="1" applyFill="1" applyAlignment="1" applyProtection="1">
      <alignment horizontal="right" vertical="center" readingOrder="2"/>
      <protection locked="0"/>
    </xf>
    <xf numFmtId="0" fontId="25" fillId="5" borderId="0" xfId="26" applyFont="1" applyFill="1" applyAlignment="1" applyProtection="1">
      <alignment horizontal="right" vertical="center" wrapText="1" readingOrder="2"/>
    </xf>
    <xf numFmtId="0" fontId="18" fillId="8" borderId="14" xfId="26" applyFont="1" applyFill="1" applyBorder="1" applyAlignment="1" applyProtection="1">
      <alignment horizontal="right" vertical="center" readingOrder="2"/>
    </xf>
    <xf numFmtId="0" fontId="18" fillId="8" borderId="15" xfId="26" applyFont="1" applyFill="1" applyBorder="1" applyAlignment="1" applyProtection="1">
      <alignment horizontal="right" vertical="center" readingOrder="2"/>
    </xf>
    <xf numFmtId="0" fontId="18" fillId="8" borderId="16" xfId="26" applyFont="1" applyFill="1" applyBorder="1" applyAlignment="1" applyProtection="1">
      <alignment horizontal="right" vertical="center" readingOrder="2"/>
    </xf>
    <xf numFmtId="0" fontId="15" fillId="4" borderId="13" xfId="26" applyFont="1" applyFill="1" applyBorder="1" applyAlignment="1" applyProtection="1">
      <alignment horizontal="right" vertical="center" readingOrder="2"/>
    </xf>
    <xf numFmtId="0" fontId="15" fillId="4" borderId="0" xfId="26" applyFont="1" applyFill="1" applyAlignment="1" applyProtection="1">
      <alignment horizontal="right" vertical="center" readingOrder="2"/>
    </xf>
    <xf numFmtId="0" fontId="16" fillId="5" borderId="0" xfId="26" applyFont="1" applyFill="1" applyBorder="1" applyAlignment="1" applyProtection="1">
      <alignment horizontal="right" vertical="center" readingOrder="2"/>
    </xf>
    <xf numFmtId="0" fontId="16" fillId="5" borderId="17" xfId="26" applyFont="1" applyFill="1" applyBorder="1" applyAlignment="1" applyProtection="1">
      <alignment horizontal="right" vertical="center" readingOrder="2"/>
    </xf>
    <xf numFmtId="0" fontId="16" fillId="5" borderId="6" xfId="26" applyFont="1" applyFill="1" applyBorder="1" applyAlignment="1" applyProtection="1">
      <alignment horizontal="right" vertical="center" readingOrder="2"/>
    </xf>
    <xf numFmtId="0" fontId="16" fillId="5" borderId="0" xfId="26" applyFont="1" applyFill="1" applyBorder="1" applyAlignment="1" applyProtection="1">
      <alignment horizontal="right" vertical="center" readingOrder="2"/>
      <protection locked="0"/>
    </xf>
    <xf numFmtId="0" fontId="16" fillId="5" borderId="7" xfId="26" applyFont="1" applyFill="1" applyBorder="1" applyAlignment="1" applyProtection="1">
      <alignment horizontal="right" vertical="center" readingOrder="2"/>
    </xf>
    <xf numFmtId="49" fontId="16" fillId="4" borderId="13" xfId="26" applyNumberFormat="1" applyFont="1" applyFill="1" applyBorder="1" applyAlignment="1" applyProtection="1">
      <alignment horizontal="right" vertical="center" readingOrder="2"/>
    </xf>
    <xf numFmtId="49" fontId="16" fillId="4" borderId="0" xfId="26" applyNumberFormat="1" applyFont="1" applyFill="1" applyAlignment="1" applyProtection="1">
      <alignment horizontal="right" vertical="center" readingOrder="2"/>
    </xf>
    <xf numFmtId="10" fontId="16" fillId="4" borderId="13" xfId="26" applyNumberFormat="1" applyFont="1" applyFill="1" applyBorder="1" applyAlignment="1" applyProtection="1">
      <alignment horizontal="right" vertical="center" readingOrder="2"/>
    </xf>
    <xf numFmtId="175" fontId="16" fillId="5" borderId="7" xfId="26" applyNumberFormat="1" applyFont="1" applyFill="1" applyBorder="1" applyAlignment="1" applyProtection="1">
      <alignment horizontal="right" vertical="center" readingOrder="1"/>
    </xf>
    <xf numFmtId="175" fontId="16" fillId="5" borderId="0" xfId="26" applyNumberFormat="1" applyFont="1" applyFill="1" applyBorder="1" applyAlignment="1" applyProtection="1">
      <alignment horizontal="right" vertical="center" readingOrder="1"/>
    </xf>
    <xf numFmtId="175" fontId="16" fillId="5" borderId="6" xfId="26" applyNumberFormat="1" applyFont="1" applyFill="1" applyBorder="1" applyAlignment="1" applyProtection="1">
      <alignment horizontal="right" vertical="center" readingOrder="1"/>
    </xf>
    <xf numFmtId="10" fontId="16" fillId="5" borderId="0" xfId="26" applyNumberFormat="1" applyFont="1" applyFill="1" applyBorder="1" applyAlignment="1" applyProtection="1">
      <alignment horizontal="right" vertical="center" readingOrder="2"/>
    </xf>
    <xf numFmtId="175" fontId="16" fillId="5" borderId="18" xfId="26" applyNumberFormat="1" applyFont="1" applyFill="1" applyBorder="1" applyAlignment="1" applyProtection="1">
      <alignment horizontal="right" vertical="center" readingOrder="1"/>
    </xf>
    <xf numFmtId="175" fontId="16" fillId="5" borderId="19" xfId="26" applyNumberFormat="1" applyFont="1" applyFill="1" applyBorder="1" applyAlignment="1" applyProtection="1">
      <alignment horizontal="right" vertical="center" readingOrder="1"/>
    </xf>
    <xf numFmtId="175" fontId="16" fillId="5" borderId="20" xfId="26" applyNumberFormat="1" applyFont="1" applyFill="1" applyBorder="1" applyAlignment="1" applyProtection="1">
      <alignment horizontal="right" vertical="center" readingOrder="1"/>
    </xf>
    <xf numFmtId="10" fontId="16" fillId="5" borderId="21" xfId="26" applyNumberFormat="1" applyFont="1" applyFill="1" applyBorder="1" applyAlignment="1" applyProtection="1">
      <alignment horizontal="right" vertical="center" readingOrder="2"/>
    </xf>
    <xf numFmtId="10" fontId="16" fillId="5" borderId="0" xfId="26" applyNumberFormat="1" applyFont="1" applyFill="1" applyAlignment="1" applyProtection="1">
      <alignment horizontal="right" vertical="center" readingOrder="2"/>
    </xf>
    <xf numFmtId="0" fontId="16" fillId="4" borderId="22" xfId="26" applyFont="1" applyFill="1" applyBorder="1" applyAlignment="1" applyProtection="1">
      <alignment horizontal="right" vertical="center" readingOrder="2"/>
    </xf>
    <xf numFmtId="0" fontId="20" fillId="5" borderId="0" xfId="26" applyFont="1" applyFill="1" applyAlignment="1" applyProtection="1">
      <alignment horizontal="right" vertical="center" readingOrder="2"/>
      <protection locked="0"/>
    </xf>
    <xf numFmtId="0" fontId="17" fillId="5" borderId="0" xfId="26" applyFont="1" applyFill="1" applyAlignment="1" applyProtection="1">
      <alignment horizontal="right" vertical="center" readingOrder="2"/>
      <protection locked="0"/>
    </xf>
    <xf numFmtId="49" fontId="16" fillId="5" borderId="0" xfId="26" applyNumberFormat="1" applyFont="1" applyFill="1" applyAlignment="1" applyProtection="1">
      <alignment horizontal="right" vertical="center" readingOrder="2"/>
      <protection locked="0"/>
    </xf>
    <xf numFmtId="10" fontId="16" fillId="5" borderId="0" xfId="26" applyNumberFormat="1" applyFont="1" applyFill="1" applyAlignment="1" applyProtection="1">
      <alignment horizontal="right" vertical="center" readingOrder="2"/>
      <protection locked="0"/>
    </xf>
    <xf numFmtId="0" fontId="28" fillId="9" borderId="8" xfId="24">
      <alignment horizontal="center" vertical="center"/>
      <protection hidden="1"/>
    </xf>
    <xf numFmtId="0" fontId="16" fillId="2" borderId="0" xfId="12"/>
    <xf numFmtId="0" fontId="27" fillId="5" borderId="0" xfId="28"/>
    <xf numFmtId="0" fontId="1" fillId="5" borderId="9" xfId="29">
      <protection hidden="1"/>
    </xf>
    <xf numFmtId="0" fontId="18" fillId="8" borderId="5" xfId="19">
      <alignment horizontal="center" vertical="center" wrapText="1"/>
      <protection hidden="1"/>
    </xf>
    <xf numFmtId="0" fontId="16" fillId="7" borderId="7" xfId="21">
      <alignment horizontal="right" vertical="center" readingOrder="2"/>
    </xf>
    <xf numFmtId="0" fontId="16" fillId="7" borderId="0" xfId="18">
      <alignment horizontal="right" vertical="center" readingOrder="2"/>
    </xf>
    <xf numFmtId="0" fontId="16" fillId="7" borderId="21" xfId="18" applyBorder="1">
      <alignment horizontal="right" vertical="center" readingOrder="2"/>
    </xf>
    <xf numFmtId="0" fontId="16" fillId="7" borderId="23" xfId="18" applyBorder="1">
      <alignment horizontal="right" vertical="center" readingOrder="2"/>
    </xf>
    <xf numFmtId="165" fontId="4" fillId="6" borderId="2" xfId="17">
      <protection locked="0"/>
    </xf>
    <xf numFmtId="165" fontId="4" fillId="5" borderId="11" xfId="32"/>
    <xf numFmtId="165" fontId="4" fillId="3" borderId="3" xfId="13"/>
    <xf numFmtId="0" fontId="16" fillId="7" borderId="18" xfId="21" applyBorder="1">
      <alignment horizontal="right" vertical="center" readingOrder="2"/>
    </xf>
    <xf numFmtId="0" fontId="16" fillId="7" borderId="19" xfId="18" applyBorder="1">
      <alignment horizontal="right" vertical="center" readingOrder="2"/>
    </xf>
    <xf numFmtId="0" fontId="16" fillId="7" borderId="20" xfId="18" applyBorder="1">
      <alignment horizontal="right" vertical="center" readingOrder="2"/>
    </xf>
    <xf numFmtId="0" fontId="27" fillId="5" borderId="24" xfId="28" applyBorder="1"/>
    <xf numFmtId="0" fontId="1" fillId="5" borderId="25" xfId="29" applyBorder="1">
      <protection hidden="1"/>
    </xf>
    <xf numFmtId="0" fontId="16" fillId="2" borderId="0" xfId="12" applyFont="1"/>
    <xf numFmtId="0" fontId="22" fillId="5" borderId="0" xfId="15" applyFont="1" applyFill="1" applyAlignment="1" applyProtection="1">
      <alignment horizontal="right" vertical="center"/>
      <protection hidden="1"/>
    </xf>
    <xf numFmtId="0" fontId="18" fillId="8" borderId="5" xfId="19" applyFont="1">
      <alignment horizontal="center" vertical="center" wrapText="1"/>
      <protection hidden="1"/>
    </xf>
    <xf numFmtId="0" fontId="1" fillId="7" borderId="6" xfId="20">
      <protection hidden="1"/>
    </xf>
    <xf numFmtId="0" fontId="29" fillId="7" borderId="7" xfId="23">
      <alignment horizontal="right" vertical="center" wrapText="1"/>
    </xf>
    <xf numFmtId="165" fontId="4" fillId="6" borderId="2" xfId="17" applyBorder="1">
      <protection locked="0"/>
    </xf>
    <xf numFmtId="165" fontId="4" fillId="6" borderId="0" xfId="17" applyBorder="1">
      <protection locked="0"/>
    </xf>
    <xf numFmtId="0" fontId="30" fillId="7" borderId="7" xfId="22" applyFont="1">
      <alignment horizontal="right" vertical="center"/>
    </xf>
    <xf numFmtId="0" fontId="16" fillId="7" borderId="7" xfId="21" applyFont="1">
      <alignment horizontal="right" vertical="center" readingOrder="2"/>
    </xf>
    <xf numFmtId="165" fontId="4" fillId="6" borderId="26" xfId="17" applyBorder="1">
      <protection locked="0"/>
    </xf>
    <xf numFmtId="165" fontId="4" fillId="5" borderId="11" xfId="32" applyProtection="1"/>
    <xf numFmtId="165" fontId="4" fillId="7" borderId="0" xfId="17" applyFill="1" applyBorder="1" applyProtection="1"/>
    <xf numFmtId="165" fontId="4" fillId="5" borderId="27" xfId="17" applyFill="1" applyBorder="1" applyProtection="1"/>
    <xf numFmtId="165" fontId="4" fillId="5" borderId="28" xfId="17" applyFill="1" applyBorder="1" applyProtection="1"/>
    <xf numFmtId="165" fontId="4" fillId="3" borderId="3" xfId="13" applyNumberFormat="1" applyBorder="1"/>
    <xf numFmtId="165" fontId="4" fillId="3" borderId="3" xfId="13" applyBorder="1"/>
    <xf numFmtId="0" fontId="16" fillId="2" borderId="13" xfId="12" applyBorder="1"/>
    <xf numFmtId="165" fontId="4" fillId="10" borderId="2" xfId="17" applyFill="1" applyProtection="1"/>
    <xf numFmtId="165" fontId="4" fillId="5" borderId="29" xfId="17" applyFill="1" applyBorder="1" applyProtection="1"/>
    <xf numFmtId="0" fontId="16" fillId="7" borderId="7" xfId="21" applyFont="1" applyAlignment="1">
      <alignment horizontal="right" vertical="center"/>
    </xf>
    <xf numFmtId="0" fontId="30" fillId="7" borderId="7" xfId="22">
      <alignment horizontal="right" vertical="center"/>
    </xf>
    <xf numFmtId="165" fontId="4" fillId="6" borderId="2" xfId="17" applyFont="1">
      <protection locked="0"/>
    </xf>
    <xf numFmtId="0" fontId="1" fillId="7" borderId="20" xfId="20" applyBorder="1">
      <protection hidden="1"/>
    </xf>
    <xf numFmtId="0" fontId="27" fillId="5" borderId="30" xfId="28" applyBorder="1"/>
    <xf numFmtId="0" fontId="17" fillId="2" borderId="0" xfId="19" applyFont="1" applyFill="1" applyBorder="1" applyProtection="1">
      <alignment horizontal="center" vertical="center" wrapText="1"/>
      <protection hidden="1"/>
    </xf>
    <xf numFmtId="0" fontId="16" fillId="2" borderId="0" xfId="21" applyFont="1" applyFill="1" applyBorder="1" applyProtection="1">
      <alignment horizontal="right" vertical="center" readingOrder="2"/>
      <protection hidden="1"/>
    </xf>
    <xf numFmtId="0" fontId="16" fillId="2" borderId="0" xfId="18" applyFont="1" applyFill="1" applyBorder="1" applyProtection="1">
      <alignment horizontal="right" vertical="center" readingOrder="2"/>
      <protection hidden="1"/>
    </xf>
    <xf numFmtId="0" fontId="1" fillId="2" borderId="0" xfId="20" applyFont="1" applyFill="1" applyBorder="1" applyProtection="1">
      <protection hidden="1"/>
    </xf>
    <xf numFmtId="0" fontId="29" fillId="2" borderId="0" xfId="23" applyFont="1" applyFill="1" applyBorder="1" applyProtection="1">
      <alignment horizontal="right" vertical="center" wrapText="1"/>
      <protection hidden="1"/>
    </xf>
    <xf numFmtId="165" fontId="4" fillId="2" borderId="0" xfId="17" applyFont="1" applyFill="1" applyBorder="1" applyProtection="1">
      <protection hidden="1"/>
    </xf>
    <xf numFmtId="165" fontId="4" fillId="2" borderId="2" xfId="17" applyFont="1" applyFill="1" applyBorder="1" applyProtection="1">
      <protection hidden="1"/>
    </xf>
    <xf numFmtId="165" fontId="4" fillId="2" borderId="11" xfId="32" applyFont="1" applyFill="1" applyBorder="1" applyProtection="1">
      <protection hidden="1"/>
    </xf>
    <xf numFmtId="0" fontId="32" fillId="2" borderId="0" xfId="22" applyFont="1" applyFill="1" applyBorder="1" applyProtection="1">
      <alignment horizontal="right" vertical="center"/>
      <protection hidden="1"/>
    </xf>
    <xf numFmtId="165" fontId="4" fillId="2" borderId="26" xfId="17" applyFont="1" applyFill="1" applyBorder="1" applyProtection="1">
      <protection hidden="1"/>
    </xf>
    <xf numFmtId="165" fontId="4" fillId="2" borderId="31" xfId="17" applyFont="1" applyFill="1" applyBorder="1" applyProtection="1">
      <protection hidden="1"/>
    </xf>
    <xf numFmtId="165" fontId="4" fillId="2" borderId="32" xfId="17" applyFont="1" applyFill="1" applyBorder="1" applyProtection="1">
      <protection hidden="1"/>
    </xf>
    <xf numFmtId="165" fontId="4" fillId="2" borderId="33" xfId="17" applyFont="1" applyFill="1" applyBorder="1" applyProtection="1">
      <protection hidden="1"/>
    </xf>
    <xf numFmtId="165" fontId="4" fillId="2" borderId="3" xfId="13" applyNumberFormat="1" applyFont="1" applyFill="1" applyBorder="1" applyProtection="1">
      <protection hidden="1"/>
    </xf>
    <xf numFmtId="165" fontId="4" fillId="2" borderId="3" xfId="13" applyFont="1" applyFill="1" applyBorder="1" applyProtection="1">
      <protection hidden="1"/>
    </xf>
    <xf numFmtId="165" fontId="16" fillId="2" borderId="0" xfId="18" applyNumberFormat="1" applyFont="1" applyFill="1" applyBorder="1" applyProtection="1">
      <alignment horizontal="right" vertical="center" readingOrder="2"/>
      <protection hidden="1"/>
    </xf>
    <xf numFmtId="0" fontId="20" fillId="2" borderId="0" xfId="21" applyFont="1" applyFill="1" applyBorder="1" applyProtection="1">
      <alignment horizontal="right" vertical="center" readingOrder="2"/>
      <protection hidden="1"/>
    </xf>
    <xf numFmtId="165" fontId="16" fillId="2" borderId="29" xfId="18" applyNumberFormat="1" applyFont="1" applyFill="1" applyBorder="1" applyProtection="1">
      <alignment horizontal="right" vertical="center" readingOrder="2"/>
      <protection hidden="1"/>
    </xf>
    <xf numFmtId="0" fontId="16" fillId="2" borderId="0" xfId="21" applyFont="1" applyFill="1" applyBorder="1" applyAlignment="1" applyProtection="1">
      <alignment horizontal="center" vertical="center" readingOrder="2"/>
      <protection hidden="1"/>
    </xf>
    <xf numFmtId="165" fontId="4" fillId="2" borderId="34" xfId="17" applyFont="1" applyFill="1" applyBorder="1" applyProtection="1">
      <protection hidden="1"/>
    </xf>
    <xf numFmtId="0" fontId="16" fillId="2" borderId="0" xfId="21" applyFont="1" applyFill="1" applyBorder="1" applyAlignment="1" applyProtection="1">
      <alignment horizontal="right" vertical="center"/>
      <protection hidden="1"/>
    </xf>
    <xf numFmtId="0" fontId="32" fillId="2" borderId="0" xfId="22" applyFont="1" applyFill="1" applyBorder="1" applyAlignment="1" applyProtection="1">
      <alignment horizontal="right" vertical="center"/>
      <protection hidden="1"/>
    </xf>
    <xf numFmtId="165" fontId="4" fillId="2" borderId="0" xfId="13" applyFont="1" applyFill="1" applyBorder="1" applyProtection="1">
      <protection hidden="1"/>
    </xf>
    <xf numFmtId="0" fontId="33" fillId="2" borderId="0" xfId="21" applyFont="1" applyFill="1" applyBorder="1" applyProtection="1">
      <alignment horizontal="right" vertical="center" readingOrder="2"/>
      <protection hidden="1"/>
    </xf>
    <xf numFmtId="0" fontId="28" fillId="9" borderId="8" xfId="24" applyProtection="1">
      <alignment horizontal="center" vertical="center"/>
    </xf>
    <xf numFmtId="0" fontId="16" fillId="2" borderId="0" xfId="12" applyProtection="1"/>
    <xf numFmtId="0" fontId="4" fillId="0" borderId="0" xfId="27" applyProtection="1"/>
    <xf numFmtId="0" fontId="4" fillId="11" borderId="0" xfId="27" applyFill="1" applyProtection="1">
      <protection locked="0"/>
    </xf>
    <xf numFmtId="0" fontId="22" fillId="5" borderId="0" xfId="15" applyFont="1" applyFill="1" applyAlignment="1" applyProtection="1">
      <alignment horizontal="right" vertical="center"/>
    </xf>
    <xf numFmtId="0" fontId="27" fillId="5" borderId="0" xfId="28" applyProtection="1"/>
    <xf numFmtId="0" fontId="1" fillId="5" borderId="9" xfId="29" applyProtection="1"/>
    <xf numFmtId="0" fontId="18" fillId="8" borderId="5" xfId="19" applyProtection="1">
      <alignment horizontal="center" vertical="center" wrapText="1"/>
    </xf>
    <xf numFmtId="0" fontId="18" fillId="8" borderId="5" xfId="19" applyFont="1" applyProtection="1">
      <alignment horizontal="center" vertical="center" wrapText="1"/>
    </xf>
    <xf numFmtId="0" fontId="16" fillId="7" borderId="7" xfId="21" applyProtection="1">
      <alignment horizontal="right" vertical="center" readingOrder="2"/>
    </xf>
    <xf numFmtId="0" fontId="16" fillId="7" borderId="0" xfId="18" applyProtection="1">
      <alignment horizontal="right" vertical="center" readingOrder="2"/>
    </xf>
    <xf numFmtId="0" fontId="1" fillId="7" borderId="6" xfId="20" applyProtection="1"/>
    <xf numFmtId="0" fontId="16" fillId="7" borderId="7" xfId="21" applyFont="1" applyProtection="1">
      <alignment horizontal="right" vertical="center" readingOrder="2"/>
    </xf>
    <xf numFmtId="165" fontId="4" fillId="6" borderId="2" xfId="17" applyProtection="1">
      <protection locked="0"/>
    </xf>
    <xf numFmtId="165" fontId="4" fillId="2" borderId="2" xfId="9" applyProtection="1"/>
    <xf numFmtId="174" fontId="4" fillId="2" borderId="2" xfId="10" applyProtection="1"/>
    <xf numFmtId="165" fontId="4" fillId="5" borderId="35" xfId="17" applyFill="1" applyBorder="1" applyProtection="1"/>
    <xf numFmtId="165" fontId="4" fillId="6" borderId="0" xfId="17" applyBorder="1" applyProtection="1">
      <protection locked="0"/>
    </xf>
    <xf numFmtId="174" fontId="4" fillId="2" borderId="0" xfId="10" applyBorder="1" applyProtection="1"/>
    <xf numFmtId="165" fontId="4" fillId="3" borderId="3" xfId="13" applyProtection="1"/>
    <xf numFmtId="0" fontId="16" fillId="7" borderId="18" xfId="21" applyBorder="1" applyProtection="1">
      <alignment horizontal="right" vertical="center" readingOrder="2"/>
    </xf>
    <xf numFmtId="0" fontId="16" fillId="7" borderId="19" xfId="18" applyBorder="1" applyProtection="1">
      <alignment horizontal="right" vertical="center" readingOrder="2"/>
    </xf>
    <xf numFmtId="0" fontId="27" fillId="5" borderId="24" xfId="28" applyBorder="1" applyProtection="1"/>
    <xf numFmtId="0" fontId="1" fillId="5" borderId="25" xfId="29" applyBorder="1" applyProtection="1"/>
    <xf numFmtId="0" fontId="31" fillId="2" borderId="0" xfId="24" applyFont="1" applyFill="1" applyBorder="1" applyAlignment="1" applyProtection="1">
      <alignment horizontal="center" vertical="center"/>
    </xf>
    <xf numFmtId="0" fontId="16" fillId="2" borderId="0" xfId="28" applyFont="1" applyFill="1" applyProtection="1"/>
    <xf numFmtId="0" fontId="17" fillId="2" borderId="0" xfId="19" applyFont="1" applyFill="1" applyBorder="1" applyProtection="1">
      <alignment horizontal="center" vertical="center" wrapText="1"/>
    </xf>
    <xf numFmtId="0" fontId="16" fillId="2" borderId="0" xfId="21" applyFont="1" applyFill="1" applyBorder="1" applyProtection="1">
      <alignment horizontal="right" vertical="center" readingOrder="2"/>
    </xf>
    <xf numFmtId="0" fontId="16" fillId="2" borderId="0" xfId="18" applyFont="1" applyFill="1" applyBorder="1" applyProtection="1">
      <alignment horizontal="right" vertical="center" readingOrder="2"/>
    </xf>
    <xf numFmtId="0" fontId="1" fillId="2" borderId="0" xfId="20" applyFont="1" applyFill="1" applyBorder="1" applyProtection="1"/>
    <xf numFmtId="0" fontId="29" fillId="2" borderId="0" xfId="23" applyFont="1" applyFill="1" applyBorder="1" applyProtection="1">
      <alignment horizontal="right" vertical="center" wrapText="1"/>
    </xf>
    <xf numFmtId="165" fontId="4" fillId="2" borderId="0" xfId="17" applyFont="1" applyFill="1" applyBorder="1" applyProtection="1"/>
    <xf numFmtId="165" fontId="4" fillId="2" borderId="0" xfId="9" applyFont="1" applyFill="1" applyBorder="1" applyProtection="1"/>
    <xf numFmtId="174" fontId="4" fillId="2" borderId="0" xfId="10" applyFont="1" applyFill="1" applyBorder="1" applyProtection="1"/>
    <xf numFmtId="165" fontId="4" fillId="2" borderId="2" xfId="17" applyFont="1" applyFill="1" applyBorder="1" applyProtection="1"/>
    <xf numFmtId="165" fontId="4" fillId="2" borderId="2" xfId="9" applyFont="1" applyFill="1" applyBorder="1" applyProtection="1"/>
    <xf numFmtId="174" fontId="4" fillId="2" borderId="2" xfId="10" applyFont="1" applyFill="1" applyBorder="1" applyProtection="1"/>
    <xf numFmtId="0" fontId="37" fillId="2" borderId="0" xfId="21" applyFont="1" applyFill="1" applyBorder="1" applyProtection="1">
      <alignment horizontal="right" vertical="center" readingOrder="2"/>
    </xf>
    <xf numFmtId="165" fontId="4" fillId="2" borderId="11" xfId="32" applyFont="1" applyFill="1" applyBorder="1" applyProtection="1"/>
    <xf numFmtId="0" fontId="16" fillId="2" borderId="0" xfId="21" applyFont="1" applyFill="1" applyBorder="1" applyAlignment="1" applyProtection="1">
      <alignment horizontal="right" vertical="center" wrapText="1" readingOrder="2"/>
    </xf>
    <xf numFmtId="165" fontId="4" fillId="2" borderId="3" xfId="13" applyFont="1" applyFill="1" applyBorder="1" applyProtection="1"/>
    <xf numFmtId="0" fontId="33" fillId="2" borderId="0" xfId="12" applyFont="1" applyProtection="1"/>
    <xf numFmtId="0" fontId="22" fillId="0" borderId="0" xfId="15" applyFont="1" applyFill="1" applyAlignment="1" applyProtection="1">
      <alignment horizontal="right" vertical="center"/>
      <protection hidden="1"/>
    </xf>
    <xf numFmtId="0" fontId="4" fillId="0" borderId="0" xfId="27"/>
    <xf numFmtId="0" fontId="17" fillId="0" borderId="0" xfId="27" applyFont="1"/>
    <xf numFmtId="0" fontId="37" fillId="7" borderId="7" xfId="21" applyFont="1" applyProtection="1">
      <alignment horizontal="right" vertical="center" readingOrder="2"/>
      <protection locked="0"/>
    </xf>
    <xf numFmtId="165" fontId="4" fillId="2" borderId="2" xfId="9"/>
    <xf numFmtId="0" fontId="16" fillId="7" borderId="7" xfId="21" applyProtection="1">
      <alignment horizontal="right" vertical="center" readingOrder="2"/>
      <protection locked="0"/>
    </xf>
    <xf numFmtId="176" fontId="4" fillId="4" borderId="0" xfId="27" applyNumberFormat="1" applyFill="1" applyBorder="1" applyProtection="1"/>
    <xf numFmtId="0" fontId="4" fillId="2" borderId="0" xfId="27" applyFont="1" applyFill="1" applyBorder="1"/>
    <xf numFmtId="0" fontId="17" fillId="2" borderId="0" xfId="19" applyFont="1" applyFill="1" applyBorder="1">
      <alignment horizontal="center" vertical="center" wrapText="1"/>
      <protection hidden="1"/>
    </xf>
    <xf numFmtId="0" fontId="1" fillId="2" borderId="0" xfId="20" applyFont="1" applyFill="1" applyBorder="1">
      <protection hidden="1"/>
    </xf>
    <xf numFmtId="0" fontId="16" fillId="2" borderId="0" xfId="18" applyFont="1" applyFill="1" applyBorder="1">
      <alignment horizontal="right" vertical="center" readingOrder="2"/>
    </xf>
    <xf numFmtId="0" fontId="16" fillId="2" borderId="0" xfId="21" applyFont="1" applyFill="1" applyBorder="1">
      <alignment horizontal="right" vertical="center" readingOrder="2"/>
    </xf>
    <xf numFmtId="176" fontId="4" fillId="2" borderId="0" xfId="27" applyNumberFormat="1" applyFont="1" applyFill="1" applyBorder="1" applyProtection="1"/>
    <xf numFmtId="0" fontId="32" fillId="2" borderId="0" xfId="22" applyFont="1" applyFill="1" applyBorder="1">
      <alignment horizontal="right" vertical="center"/>
    </xf>
    <xf numFmtId="0" fontId="33" fillId="2" borderId="0" xfId="12" applyFont="1"/>
    <xf numFmtId="0" fontId="16" fillId="2" borderId="0" xfId="12" applyProtection="1">
      <protection hidden="1"/>
    </xf>
    <xf numFmtId="0" fontId="16" fillId="7" borderId="17" xfId="18" applyBorder="1">
      <alignment horizontal="right" vertical="center" readingOrder="2"/>
    </xf>
    <xf numFmtId="0" fontId="16" fillId="7" borderId="0" xfId="18" applyBorder="1">
      <alignment horizontal="right" vertical="center" readingOrder="2"/>
    </xf>
    <xf numFmtId="0" fontId="16" fillId="7" borderId="36" xfId="18" applyBorder="1" applyAlignment="1" applyProtection="1">
      <alignment horizontal="right" vertical="center" readingOrder="2"/>
      <protection locked="0"/>
    </xf>
    <xf numFmtId="0" fontId="16" fillId="7" borderId="7" xfId="18" applyBorder="1">
      <alignment horizontal="right" vertical="center" readingOrder="2"/>
    </xf>
    <xf numFmtId="0" fontId="16" fillId="7" borderId="6" xfId="18" applyBorder="1">
      <alignment horizontal="right" vertical="center" readingOrder="2"/>
    </xf>
    <xf numFmtId="0" fontId="16" fillId="7" borderId="5" xfId="18" applyBorder="1" applyProtection="1">
      <alignment horizontal="right" vertical="center" readingOrder="2"/>
      <protection locked="0" hidden="1"/>
    </xf>
    <xf numFmtId="0" fontId="16" fillId="7" borderId="5" xfId="18" applyBorder="1">
      <alignment horizontal="right" vertical="center" readingOrder="2"/>
    </xf>
    <xf numFmtId="0" fontId="37" fillId="7" borderId="5" xfId="18" applyFont="1" applyBorder="1" applyProtection="1">
      <alignment horizontal="right" vertical="center" readingOrder="2"/>
      <protection locked="0" hidden="1"/>
    </xf>
    <xf numFmtId="0" fontId="16" fillId="7" borderId="5" xfId="18" applyBorder="1" applyProtection="1">
      <alignment horizontal="right" vertical="center" readingOrder="2"/>
      <protection locked="0"/>
    </xf>
    <xf numFmtId="0" fontId="16" fillId="7" borderId="7" xfId="18" applyFont="1" applyBorder="1">
      <alignment horizontal="right" vertical="center" readingOrder="2"/>
    </xf>
    <xf numFmtId="0" fontId="16" fillId="7" borderId="0" xfId="18" applyFont="1" applyBorder="1">
      <alignment horizontal="right" vertical="center" readingOrder="2"/>
    </xf>
    <xf numFmtId="0" fontId="16" fillId="7" borderId="5" xfId="18" applyFont="1" applyBorder="1" applyProtection="1">
      <alignment horizontal="right" vertical="center" readingOrder="2"/>
      <protection locked="0"/>
    </xf>
    <xf numFmtId="0" fontId="16" fillId="7" borderId="18" xfId="18" applyBorder="1">
      <alignment horizontal="right" vertical="center" readingOrder="2"/>
    </xf>
    <xf numFmtId="0" fontId="27" fillId="5" borderId="0" xfId="28" applyAlignment="1" applyProtection="1">
      <alignment wrapText="1"/>
    </xf>
    <xf numFmtId="165" fontId="4" fillId="6" borderId="2" xfId="17" applyFont="1" applyProtection="1">
      <protection locked="0"/>
    </xf>
    <xf numFmtId="0" fontId="4" fillId="0" borderId="19" xfId="27" applyBorder="1" applyProtection="1"/>
    <xf numFmtId="0" fontId="1" fillId="7" borderId="20" xfId="20" applyBorder="1" applyProtection="1"/>
    <xf numFmtId="0" fontId="27" fillId="5" borderId="37" xfId="28" applyBorder="1" applyProtection="1"/>
    <xf numFmtId="0" fontId="31" fillId="2" borderId="0" xfId="24" applyFont="1" applyFill="1" applyBorder="1" applyProtection="1">
      <alignment horizontal="center" vertical="center"/>
    </xf>
    <xf numFmtId="0" fontId="4" fillId="2" borderId="0" xfId="27" applyFont="1" applyFill="1" applyBorder="1" applyProtection="1"/>
    <xf numFmtId="165" fontId="4" fillId="2" borderId="0" xfId="17" applyFont="1" applyFill="1" applyBorder="1" applyProtection="1">
      <protection locked="0"/>
    </xf>
    <xf numFmtId="165" fontId="4" fillId="2" borderId="2" xfId="17" applyFont="1" applyFill="1" applyBorder="1" applyProtection="1">
      <protection locked="0"/>
    </xf>
    <xf numFmtId="165" fontId="4" fillId="2" borderId="38" xfId="17" applyFont="1" applyFill="1" applyBorder="1" applyProtection="1">
      <protection locked="0"/>
    </xf>
    <xf numFmtId="165" fontId="4" fillId="2" borderId="38" xfId="9" applyFont="1" applyFill="1" applyBorder="1" applyProtection="1"/>
    <xf numFmtId="0" fontId="33" fillId="2" borderId="0" xfId="21" applyFont="1" applyFill="1" applyBorder="1" applyProtection="1">
      <alignment horizontal="right" vertical="center" readingOrder="2"/>
    </xf>
    <xf numFmtId="174" fontId="4" fillId="2" borderId="2" xfId="10"/>
    <xf numFmtId="0" fontId="16" fillId="7" borderId="0" xfId="18" applyFont="1" applyFill="1" applyProtection="1">
      <alignment horizontal="right" vertical="center" readingOrder="2"/>
    </xf>
    <xf numFmtId="0" fontId="30" fillId="7" borderId="0" xfId="22" applyBorder="1" applyProtection="1">
      <alignment horizontal="right" vertical="center"/>
    </xf>
    <xf numFmtId="0" fontId="16" fillId="7" borderId="0" xfId="18" applyFont="1" applyProtection="1">
      <alignment horizontal="right" vertical="center" readingOrder="2"/>
    </xf>
    <xf numFmtId="165" fontId="4" fillId="5" borderId="11" xfId="32" quotePrefix="1" applyProtection="1"/>
    <xf numFmtId="0" fontId="39" fillId="7" borderId="0" xfId="18" applyFont="1" applyProtection="1">
      <alignment horizontal="right" vertical="center" readingOrder="2"/>
    </xf>
    <xf numFmtId="0" fontId="16" fillId="7" borderId="0" xfId="18" quotePrefix="1" applyProtection="1">
      <alignment horizontal="right" vertical="center" readingOrder="2"/>
    </xf>
    <xf numFmtId="0" fontId="37" fillId="7" borderId="0" xfId="18" applyFont="1" applyProtection="1">
      <alignment horizontal="right" vertical="center" readingOrder="2"/>
    </xf>
    <xf numFmtId="165" fontId="4" fillId="3" borderId="3" xfId="13" quotePrefix="1" applyProtection="1"/>
    <xf numFmtId="0" fontId="31" fillId="2" borderId="0" xfId="24" applyFont="1" applyFill="1" applyBorder="1" applyAlignment="1" applyProtection="1">
      <alignment vertical="center"/>
    </xf>
    <xf numFmtId="0" fontId="32" fillId="2" borderId="0" xfId="22" applyFont="1" applyFill="1" applyBorder="1" applyProtection="1">
      <alignment horizontal="right" vertical="center"/>
    </xf>
    <xf numFmtId="165" fontId="4" fillId="2" borderId="11" xfId="32" quotePrefix="1" applyFont="1" applyFill="1" applyBorder="1" applyProtection="1"/>
    <xf numFmtId="0" fontId="16" fillId="2" borderId="0" xfId="18" quotePrefix="1" applyFont="1" applyFill="1" applyBorder="1" applyProtection="1">
      <alignment horizontal="right" vertical="center" readingOrder="2"/>
    </xf>
    <xf numFmtId="165" fontId="4" fillId="2" borderId="0" xfId="32" quotePrefix="1" applyFont="1" applyFill="1" applyBorder="1" applyProtection="1"/>
    <xf numFmtId="0" fontId="37" fillId="2" borderId="0" xfId="18" applyFont="1" applyFill="1" applyBorder="1" applyProtection="1">
      <alignment horizontal="right" vertical="center" readingOrder="2"/>
    </xf>
    <xf numFmtId="165" fontId="4" fillId="2" borderId="3" xfId="13" quotePrefix="1" applyFont="1" applyFill="1" applyBorder="1" applyProtection="1"/>
    <xf numFmtId="165" fontId="4" fillId="2" borderId="0" xfId="13" quotePrefix="1" applyFont="1" applyFill="1" applyBorder="1" applyProtection="1"/>
    <xf numFmtId="0" fontId="16" fillId="7" borderId="7" xfId="21" applyAlignment="1" applyProtection="1">
      <alignment horizontal="right" vertical="center" wrapText="1" readingOrder="2"/>
    </xf>
    <xf numFmtId="0" fontId="28" fillId="2" borderId="0" xfId="24" applyFill="1" applyBorder="1" applyProtection="1">
      <alignment horizontal="center" vertical="center"/>
    </xf>
    <xf numFmtId="165" fontId="16" fillId="2" borderId="0" xfId="17" applyFont="1" applyFill="1" applyBorder="1" applyProtection="1">
      <protection locked="0"/>
    </xf>
    <xf numFmtId="0" fontId="16" fillId="2" borderId="0" xfId="18" applyFont="1" applyFill="1" applyProtection="1">
      <alignment horizontal="right" vertical="center" readingOrder="2"/>
    </xf>
    <xf numFmtId="165" fontId="16" fillId="2" borderId="0" xfId="9" applyFont="1" applyFill="1" applyBorder="1" applyProtection="1"/>
    <xf numFmtId="174" fontId="16" fillId="2" borderId="0" xfId="10" applyFont="1" applyFill="1" applyBorder="1" applyProtection="1"/>
    <xf numFmtId="0" fontId="16" fillId="2" borderId="0" xfId="20" applyFont="1" applyFill="1" applyBorder="1" applyProtection="1"/>
    <xf numFmtId="165" fontId="16" fillId="2" borderId="2" xfId="17" applyFont="1" applyFill="1" applyProtection="1">
      <protection locked="0"/>
    </xf>
    <xf numFmtId="165" fontId="16" fillId="2" borderId="2" xfId="9" applyFont="1" applyFill="1" applyProtection="1"/>
    <xf numFmtId="174" fontId="16" fillId="2" borderId="2" xfId="10" applyFont="1" applyFill="1" applyProtection="1"/>
    <xf numFmtId="165" fontId="16" fillId="2" borderId="3" xfId="13" applyFont="1" applyFill="1" applyProtection="1"/>
    <xf numFmtId="0" fontId="40" fillId="9" borderId="8" xfId="24" applyFont="1" applyProtection="1">
      <alignment horizontal="center" vertical="center"/>
    </xf>
    <xf numFmtId="0" fontId="29" fillId="7" borderId="7" xfId="23" applyFont="1" applyProtection="1">
      <alignment horizontal="right" vertical="center" wrapText="1"/>
    </xf>
    <xf numFmtId="165" fontId="4" fillId="3" borderId="3" xfId="13" applyBorder="1" applyProtection="1"/>
    <xf numFmtId="0" fontId="16" fillId="2" borderId="0" xfId="28" applyFont="1" applyFill="1" applyBorder="1" applyProtection="1"/>
    <xf numFmtId="0" fontId="16" fillId="2" borderId="0" xfId="18" applyFont="1" applyFill="1" applyBorder="1" applyAlignment="1" applyProtection="1">
      <alignment horizontal="right" readingOrder="2"/>
    </xf>
    <xf numFmtId="0" fontId="30" fillId="7" borderId="7" xfId="22" applyFont="1" applyAlignment="1">
      <alignment horizontal="right" vertical="center" readingOrder="2"/>
    </xf>
    <xf numFmtId="0" fontId="4" fillId="0" borderId="0" xfId="27" applyBorder="1" applyAlignment="1">
      <alignment horizontal="center"/>
    </xf>
    <xf numFmtId="0" fontId="16" fillId="2" borderId="0" xfId="12" applyAlignment="1">
      <alignment horizontal="center"/>
    </xf>
    <xf numFmtId="0" fontId="29" fillId="2" borderId="0" xfId="23" applyFont="1" applyFill="1" applyBorder="1">
      <alignment horizontal="right" vertical="center" wrapText="1"/>
    </xf>
    <xf numFmtId="165" fontId="4" fillId="2" borderId="34" xfId="17" applyFont="1" applyFill="1" applyBorder="1" applyProtection="1"/>
    <xf numFmtId="165" fontId="4" fillId="2" borderId="38" xfId="17" applyFont="1" applyFill="1" applyBorder="1" applyProtection="1"/>
    <xf numFmtId="0" fontId="32" fillId="2" borderId="0" xfId="22" applyFont="1" applyFill="1" applyBorder="1" applyAlignment="1">
      <alignment horizontal="right" vertical="center" readingOrder="2"/>
    </xf>
    <xf numFmtId="0" fontId="16" fillId="2" borderId="39" xfId="18" applyFont="1" applyFill="1" applyBorder="1" applyProtection="1">
      <alignment horizontal="right" vertical="center" readingOrder="2"/>
    </xf>
    <xf numFmtId="0" fontId="4" fillId="2" borderId="0" xfId="27" applyFont="1" applyFill="1" applyBorder="1" applyAlignment="1">
      <alignment horizontal="center"/>
    </xf>
    <xf numFmtId="0" fontId="4" fillId="12" borderId="40" xfId="27" applyFill="1" applyBorder="1" applyAlignment="1">
      <alignment horizontal="right"/>
    </xf>
    <xf numFmtId="0" fontId="4" fillId="12" borderId="41" xfId="27" applyFill="1" applyBorder="1"/>
    <xf numFmtId="0" fontId="4" fillId="11" borderId="0" xfId="27" applyFill="1"/>
    <xf numFmtId="0" fontId="37" fillId="7" borderId="7" xfId="21" applyFont="1">
      <alignment horizontal="right" vertical="center" readingOrder="2"/>
    </xf>
    <xf numFmtId="165" fontId="4" fillId="5" borderId="35" xfId="32" applyBorder="1"/>
    <xf numFmtId="165" fontId="4" fillId="2" borderId="35" xfId="9" applyBorder="1"/>
    <xf numFmtId="165" fontId="4" fillId="7" borderId="0" xfId="32" applyFill="1" applyBorder="1"/>
    <xf numFmtId="0" fontId="16" fillId="7" borderId="0" xfId="18" applyFill="1">
      <alignment horizontal="right" vertical="center" readingOrder="2"/>
    </xf>
    <xf numFmtId="165" fontId="4" fillId="7" borderId="0" xfId="9" applyFill="1" applyBorder="1"/>
    <xf numFmtId="174" fontId="38" fillId="7" borderId="0" xfId="10" applyFont="1" applyFill="1" applyBorder="1"/>
    <xf numFmtId="165" fontId="4" fillId="2" borderId="0" xfId="9" applyBorder="1"/>
    <xf numFmtId="174" fontId="4" fillId="2" borderId="0" xfId="10" applyBorder="1"/>
    <xf numFmtId="9" fontId="4" fillId="3" borderId="3" xfId="13" applyNumberFormat="1"/>
    <xf numFmtId="9" fontId="4" fillId="5" borderId="11" xfId="32" applyNumberFormat="1"/>
    <xf numFmtId="174" fontId="4" fillId="5" borderId="12" xfId="33"/>
    <xf numFmtId="0" fontId="16" fillId="7" borderId="7" xfId="21" applyFont="1" applyAlignment="1">
      <alignment horizontal="right" vertical="center" wrapText="1" readingOrder="2"/>
    </xf>
    <xf numFmtId="165" fontId="4" fillId="7" borderId="11" xfId="32" applyFill="1"/>
    <xf numFmtId="174" fontId="4" fillId="7" borderId="12" xfId="33" applyFill="1"/>
    <xf numFmtId="0" fontId="37" fillId="7" borderId="7" xfId="21" applyFont="1" applyAlignment="1">
      <alignment horizontal="right" vertical="center" wrapText="1" readingOrder="2"/>
    </xf>
    <xf numFmtId="165" fontId="4" fillId="5" borderId="35" xfId="9" applyFill="1" applyBorder="1"/>
    <xf numFmtId="174" fontId="4" fillId="5" borderId="35" xfId="10" applyFill="1" applyBorder="1"/>
    <xf numFmtId="174" fontId="4" fillId="7" borderId="0" xfId="10" applyFill="1" applyBorder="1"/>
    <xf numFmtId="0" fontId="16" fillId="7" borderId="20" xfId="21" applyBorder="1">
      <alignment horizontal="right" vertical="center" readingOrder="2"/>
    </xf>
    <xf numFmtId="165" fontId="17" fillId="2" borderId="0" xfId="12" applyNumberFormat="1" applyFont="1" applyAlignment="1">
      <alignment horizontal="center" vertical="center" wrapText="1"/>
    </xf>
    <xf numFmtId="165" fontId="16" fillId="2" borderId="0" xfId="12" applyNumberFormat="1" applyAlignment="1">
      <alignment horizontal="center" vertical="center" wrapText="1"/>
    </xf>
    <xf numFmtId="165" fontId="16" fillId="2" borderId="0" xfId="12" applyNumberFormat="1"/>
    <xf numFmtId="165" fontId="20" fillId="2" borderId="0" xfId="12" applyNumberFormat="1" applyFont="1"/>
    <xf numFmtId="0" fontId="20" fillId="2" borderId="0" xfId="15" applyFont="1" applyFill="1" applyAlignment="1" applyProtection="1">
      <alignment horizontal="right" vertical="center"/>
      <protection hidden="1"/>
    </xf>
    <xf numFmtId="0" fontId="16" fillId="2" borderId="0" xfId="28" applyFont="1" applyFill="1" applyProtection="1">
      <protection hidden="1"/>
    </xf>
    <xf numFmtId="165" fontId="4" fillId="2" borderId="0" xfId="9" applyFont="1" applyFill="1" applyBorder="1" applyProtection="1">
      <protection hidden="1"/>
    </xf>
    <xf numFmtId="174" fontId="4" fillId="2" borderId="0" xfId="10" applyFont="1" applyFill="1" applyBorder="1" applyProtection="1">
      <protection hidden="1"/>
    </xf>
    <xf numFmtId="165" fontId="4" fillId="2" borderId="2" xfId="9" applyFont="1" applyFill="1" applyBorder="1" applyProtection="1">
      <protection hidden="1"/>
    </xf>
    <xf numFmtId="174" fontId="4" fillId="2" borderId="2" xfId="10" applyFont="1" applyFill="1" applyBorder="1" applyProtection="1">
      <protection hidden="1"/>
    </xf>
    <xf numFmtId="0" fontId="37" fillId="2" borderId="0" xfId="21" applyFont="1" applyFill="1" applyBorder="1" applyProtection="1">
      <alignment horizontal="right" vertical="center" readingOrder="2"/>
      <protection hidden="1"/>
    </xf>
    <xf numFmtId="165" fontId="4" fillId="2" borderId="35" xfId="17" applyFont="1" applyFill="1" applyBorder="1" applyProtection="1">
      <protection hidden="1"/>
    </xf>
    <xf numFmtId="165" fontId="4" fillId="2" borderId="35" xfId="9" applyFont="1" applyFill="1" applyBorder="1" applyProtection="1">
      <protection hidden="1"/>
    </xf>
    <xf numFmtId="174" fontId="4" fillId="2" borderId="35" xfId="10" applyFont="1" applyFill="1" applyBorder="1" applyProtection="1">
      <protection hidden="1"/>
    </xf>
    <xf numFmtId="9" fontId="4" fillId="2" borderId="3" xfId="13" applyNumberFormat="1" applyFont="1" applyFill="1" applyBorder="1" applyProtection="1">
      <protection hidden="1"/>
    </xf>
    <xf numFmtId="9" fontId="4" fillId="2" borderId="11" xfId="32" applyNumberFormat="1" applyFont="1" applyFill="1" applyBorder="1" applyProtection="1">
      <protection hidden="1"/>
    </xf>
    <xf numFmtId="174" fontId="4" fillId="2" borderId="12" xfId="33" applyFont="1" applyFill="1" applyBorder="1" applyProtection="1">
      <protection hidden="1"/>
    </xf>
    <xf numFmtId="165" fontId="4" fillId="2" borderId="35" xfId="32" applyFont="1" applyFill="1" applyBorder="1" applyProtection="1">
      <protection hidden="1"/>
    </xf>
    <xf numFmtId="174" fontId="4" fillId="2" borderId="42" xfId="33" applyFont="1" applyFill="1" applyBorder="1" applyProtection="1">
      <protection hidden="1"/>
    </xf>
    <xf numFmtId="165" fontId="4" fillId="2" borderId="43" xfId="32" applyFont="1" applyFill="1" applyBorder="1" applyProtection="1">
      <protection hidden="1"/>
    </xf>
    <xf numFmtId="174" fontId="4" fillId="2" borderId="44" xfId="33" applyFont="1" applyFill="1" applyBorder="1" applyProtection="1">
      <protection hidden="1"/>
    </xf>
    <xf numFmtId="0" fontId="16" fillId="2" borderId="0" xfId="21" applyFont="1" applyFill="1" applyBorder="1" applyAlignment="1" applyProtection="1">
      <alignment horizontal="right" vertical="center" wrapText="1" readingOrder="2"/>
      <protection hidden="1"/>
    </xf>
    <xf numFmtId="165" fontId="4" fillId="2" borderId="0" xfId="32" applyFont="1" applyFill="1" applyBorder="1" applyProtection="1">
      <protection hidden="1"/>
    </xf>
    <xf numFmtId="174" fontId="4" fillId="2" borderId="0" xfId="33" applyFont="1" applyFill="1" applyBorder="1" applyProtection="1">
      <protection hidden="1"/>
    </xf>
    <xf numFmtId="0" fontId="37" fillId="2" borderId="0" xfId="21" applyFont="1" applyFill="1" applyBorder="1" applyAlignment="1" applyProtection="1">
      <alignment horizontal="right" vertical="center" wrapText="1" readingOrder="2"/>
      <protection hidden="1"/>
    </xf>
    <xf numFmtId="0" fontId="4" fillId="5" borderId="0" xfId="27" applyFill="1" applyBorder="1" applyAlignment="1">
      <alignment horizontal="right" vertical="center"/>
    </xf>
    <xf numFmtId="49" fontId="4" fillId="5" borderId="0" xfId="27" applyNumberFormat="1" applyFill="1" applyBorder="1" applyAlignment="1">
      <alignment horizontal="right" vertical="center"/>
    </xf>
    <xf numFmtId="165" fontId="4" fillId="5" borderId="0" xfId="27" applyNumberFormat="1" applyFill="1" applyBorder="1" applyAlignment="1">
      <alignment horizontal="center" vertical="center" shrinkToFit="1"/>
    </xf>
    <xf numFmtId="0" fontId="4" fillId="5" borderId="9" xfId="27" applyFill="1" applyBorder="1" applyAlignment="1">
      <alignment horizontal="right" vertical="center"/>
    </xf>
    <xf numFmtId="0" fontId="42" fillId="5" borderId="0" xfId="27" applyFont="1" applyFill="1" applyAlignment="1">
      <alignment vertical="center"/>
    </xf>
    <xf numFmtId="0" fontId="4" fillId="5" borderId="0" xfId="27" applyFill="1" applyAlignment="1">
      <alignment horizontal="right" vertical="center"/>
    </xf>
    <xf numFmtId="49" fontId="4" fillId="5" borderId="0" xfId="27" applyNumberFormat="1" applyFill="1" applyAlignment="1">
      <alignment horizontal="right" vertical="center"/>
    </xf>
    <xf numFmtId="165" fontId="4" fillId="5" borderId="0" xfId="27" applyNumberFormat="1" applyFill="1" applyAlignment="1">
      <alignment horizontal="center" vertical="center" shrinkToFit="1"/>
    </xf>
    <xf numFmtId="0" fontId="41" fillId="5" borderId="0" xfId="27" applyFont="1" applyFill="1" applyBorder="1" applyAlignment="1">
      <alignment horizontal="center" vertical="top"/>
    </xf>
    <xf numFmtId="0" fontId="42" fillId="8" borderId="5" xfId="19" applyFont="1" applyAlignment="1">
      <alignment vertical="center" wrapText="1"/>
      <protection hidden="1"/>
    </xf>
    <xf numFmtId="0" fontId="24" fillId="8" borderId="5" xfId="19" applyFont="1">
      <alignment horizontal="center" vertical="center" wrapText="1"/>
      <protection hidden="1"/>
    </xf>
    <xf numFmtId="0" fontId="42" fillId="7" borderId="14" xfId="18" applyFont="1" applyBorder="1" applyAlignment="1">
      <alignment vertical="center" readingOrder="2"/>
    </xf>
    <xf numFmtId="0" fontId="16" fillId="7" borderId="45" xfId="18" applyBorder="1" applyAlignment="1">
      <alignment horizontal="center" vertical="center" readingOrder="2"/>
    </xf>
    <xf numFmtId="0" fontId="16" fillId="7" borderId="15" xfId="18" applyBorder="1" applyAlignment="1">
      <alignment horizontal="center" vertical="center" readingOrder="2"/>
    </xf>
    <xf numFmtId="0" fontId="16" fillId="7" borderId="16" xfId="18" applyBorder="1" applyAlignment="1">
      <alignment horizontal="center" vertical="center" readingOrder="2"/>
    </xf>
    <xf numFmtId="0" fontId="18" fillId="8" borderId="5" xfId="19" applyAlignment="1">
      <alignment vertical="center" wrapText="1"/>
      <protection hidden="1"/>
    </xf>
    <xf numFmtId="49" fontId="18" fillId="8" borderId="5" xfId="19" applyNumberFormat="1">
      <alignment horizontal="center" vertical="center" wrapText="1"/>
      <protection hidden="1"/>
    </xf>
    <xf numFmtId="0" fontId="18" fillId="8" borderId="5" xfId="19" applyAlignment="1">
      <alignment horizontal="center" vertical="center" wrapText="1"/>
      <protection hidden="1"/>
    </xf>
    <xf numFmtId="165" fontId="16" fillId="2" borderId="1" xfId="8">
      <alignment horizontal="right" vertical="center" wrapText="1"/>
    </xf>
    <xf numFmtId="49" fontId="16" fillId="2" borderId="1" xfId="8" applyNumberFormat="1">
      <alignment horizontal="right" vertical="center" wrapText="1"/>
    </xf>
    <xf numFmtId="165" fontId="16" fillId="2" borderId="1" xfId="8" applyAlignment="1">
      <alignment horizontal="center" vertical="center" wrapText="1"/>
    </xf>
    <xf numFmtId="165" fontId="16" fillId="2" borderId="46" xfId="8" applyBorder="1">
      <alignment horizontal="right" vertical="center" wrapText="1"/>
    </xf>
    <xf numFmtId="165" fontId="17" fillId="2" borderId="47" xfId="8" applyFont="1" applyBorder="1" applyAlignment="1">
      <alignment horizontal="right" vertical="center"/>
    </xf>
    <xf numFmtId="165" fontId="16" fillId="2" borderId="48" xfId="8" applyBorder="1" applyAlignment="1">
      <alignment horizontal="right" vertical="center" wrapText="1"/>
    </xf>
    <xf numFmtId="165" fontId="16" fillId="2" borderId="49" xfId="8" applyBorder="1">
      <alignment horizontal="right" vertical="center" wrapText="1"/>
    </xf>
    <xf numFmtId="165" fontId="17" fillId="2" borderId="50" xfId="8" applyFont="1" applyBorder="1" applyAlignment="1">
      <alignment horizontal="right" vertical="center"/>
    </xf>
    <xf numFmtId="165" fontId="16" fillId="2" borderId="51" xfId="8" applyBorder="1" applyAlignment="1">
      <alignment horizontal="right" vertical="center" wrapText="1"/>
    </xf>
    <xf numFmtId="0" fontId="4" fillId="5" borderId="9" xfId="27" applyFill="1" applyBorder="1" applyAlignment="1">
      <alignment horizontal="right" vertical="center" wrapText="1"/>
    </xf>
    <xf numFmtId="165" fontId="17" fillId="2" borderId="50" xfId="8" applyFont="1" applyBorder="1">
      <alignment horizontal="right" vertical="center" wrapText="1"/>
    </xf>
    <xf numFmtId="165" fontId="16" fillId="2" borderId="51" xfId="8" applyBorder="1">
      <alignment horizontal="right" vertical="center" wrapText="1"/>
    </xf>
    <xf numFmtId="0" fontId="16" fillId="13" borderId="0" xfId="12" applyFill="1"/>
    <xf numFmtId="165" fontId="16" fillId="14" borderId="1" xfId="8" applyFill="1">
      <alignment horizontal="right" vertical="center" wrapText="1"/>
    </xf>
    <xf numFmtId="165" fontId="16" fillId="2" borderId="52" xfId="8" applyBorder="1" applyAlignment="1">
      <alignment horizontal="center" vertical="center" wrapText="1"/>
    </xf>
    <xf numFmtId="165" fontId="17" fillId="2" borderId="53" xfId="8" applyFont="1" applyBorder="1">
      <alignment horizontal="right" vertical="center" wrapText="1"/>
    </xf>
    <xf numFmtId="165" fontId="16" fillId="2" borderId="27" xfId="8" applyFont="1" applyBorder="1">
      <alignment horizontal="right" vertical="center" wrapText="1"/>
    </xf>
    <xf numFmtId="165" fontId="16" fillId="2" borderId="51" xfId="8" applyFont="1" applyBorder="1">
      <alignment horizontal="right" vertical="center" wrapText="1"/>
    </xf>
    <xf numFmtId="165" fontId="16" fillId="2" borderId="1" xfId="8" applyBorder="1">
      <alignment horizontal="right" vertical="center" wrapText="1"/>
    </xf>
    <xf numFmtId="49" fontId="16" fillId="2" borderId="1" xfId="8" applyNumberFormat="1" applyBorder="1">
      <alignment horizontal="right" vertical="center" wrapText="1"/>
    </xf>
    <xf numFmtId="165" fontId="16" fillId="2" borderId="54" xfId="8" applyBorder="1" applyAlignment="1">
      <alignment horizontal="center" vertical="center" wrapText="1"/>
    </xf>
    <xf numFmtId="0" fontId="17" fillId="7" borderId="50" xfId="18" applyFont="1" applyBorder="1">
      <alignment horizontal="right" vertical="center" readingOrder="2"/>
    </xf>
    <xf numFmtId="0" fontId="16" fillId="7" borderId="51" xfId="18" applyFont="1" applyBorder="1">
      <alignment horizontal="right" vertical="center" readingOrder="2"/>
    </xf>
    <xf numFmtId="0" fontId="16" fillId="7" borderId="55" xfId="18" applyFont="1" applyBorder="1">
      <alignment horizontal="right" vertical="center" readingOrder="2"/>
    </xf>
    <xf numFmtId="165" fontId="16" fillId="2" borderId="56" xfId="8" applyBorder="1" applyAlignment="1">
      <alignment horizontal="center" vertical="center" wrapText="1"/>
    </xf>
    <xf numFmtId="0" fontId="16" fillId="7" borderId="57" xfId="18" applyFont="1" applyBorder="1">
      <alignment horizontal="right" vertical="center" readingOrder="2"/>
    </xf>
    <xf numFmtId="176" fontId="4" fillId="5" borderId="10" xfId="31" applyAlignment="1">
      <alignment horizontal="center" vertical="center"/>
    </xf>
    <xf numFmtId="165" fontId="16" fillId="14" borderId="1" xfId="8" applyFill="1" applyBorder="1">
      <alignment horizontal="right" vertical="center" wrapText="1"/>
    </xf>
    <xf numFmtId="0" fontId="16" fillId="7" borderId="50" xfId="18" applyBorder="1">
      <alignment horizontal="right" vertical="center" readingOrder="2"/>
    </xf>
    <xf numFmtId="0" fontId="16" fillId="7" borderId="51" xfId="18" applyBorder="1">
      <alignment horizontal="right" vertical="center" readingOrder="2"/>
    </xf>
    <xf numFmtId="0" fontId="16" fillId="7" borderId="55" xfId="18" applyBorder="1">
      <alignment horizontal="right" vertical="center" readingOrder="2"/>
    </xf>
    <xf numFmtId="165" fontId="16" fillId="2" borderId="58" xfId="8" applyBorder="1" applyAlignment="1">
      <alignment horizontal="center" vertical="center" wrapText="1"/>
    </xf>
    <xf numFmtId="0" fontId="16" fillId="7" borderId="57" xfId="18" applyBorder="1">
      <alignment horizontal="right" vertical="center" readingOrder="2"/>
    </xf>
    <xf numFmtId="49" fontId="16" fillId="2" borderId="59" xfId="8" applyNumberFormat="1" applyBorder="1">
      <alignment horizontal="right" vertical="center" wrapText="1"/>
    </xf>
    <xf numFmtId="165" fontId="17" fillId="2" borderId="27" xfId="8" applyFont="1" applyBorder="1">
      <alignment horizontal="right" vertical="center" wrapText="1"/>
    </xf>
    <xf numFmtId="165" fontId="16" fillId="14" borderId="60" xfId="8" applyFill="1" applyBorder="1">
      <alignment horizontal="right" vertical="center" wrapText="1"/>
    </xf>
    <xf numFmtId="165" fontId="16" fillId="2" borderId="61" xfId="8" applyBorder="1">
      <alignment horizontal="right" vertical="center" wrapText="1"/>
    </xf>
    <xf numFmtId="165" fontId="16" fillId="2" borderId="60" xfId="8" applyBorder="1">
      <alignment horizontal="right" vertical="center" wrapText="1"/>
    </xf>
    <xf numFmtId="0" fontId="16" fillId="7" borderId="62" xfId="18" applyBorder="1">
      <alignment horizontal="right" vertical="center" readingOrder="2"/>
    </xf>
    <xf numFmtId="0" fontId="16" fillId="7" borderId="63" xfId="18" applyBorder="1">
      <alignment horizontal="right" vertical="center" readingOrder="2"/>
    </xf>
    <xf numFmtId="49" fontId="16" fillId="2" borderId="60" xfId="8" applyNumberFormat="1" applyBorder="1">
      <alignment horizontal="right" vertical="center" wrapText="1"/>
    </xf>
    <xf numFmtId="165" fontId="17" fillId="2" borderId="62" xfId="8" applyFont="1" applyBorder="1">
      <alignment horizontal="right" vertical="center" wrapText="1"/>
    </xf>
    <xf numFmtId="165" fontId="25" fillId="2" borderId="63" xfId="8" applyFont="1" applyBorder="1" applyAlignment="1">
      <alignment horizontal="center" vertical="center" wrapText="1"/>
    </xf>
    <xf numFmtId="165" fontId="16" fillId="2" borderId="63" xfId="8" applyFont="1" applyBorder="1">
      <alignment horizontal="right" vertical="center" wrapText="1"/>
    </xf>
    <xf numFmtId="49" fontId="16" fillId="13" borderId="1" xfId="8" applyNumberFormat="1" applyFill="1" applyBorder="1">
      <alignment horizontal="right" vertical="center" wrapText="1"/>
    </xf>
    <xf numFmtId="0" fontId="16" fillId="13" borderId="0" xfId="12" applyFill="1" applyAlignment="1"/>
    <xf numFmtId="0" fontId="42" fillId="8" borderId="18" xfId="27" applyFont="1" applyFill="1" applyBorder="1" applyAlignment="1">
      <alignment vertical="center"/>
    </xf>
    <xf numFmtId="0" fontId="4" fillId="8" borderId="15" xfId="27" applyFill="1" applyBorder="1" applyAlignment="1">
      <alignment horizontal="right" vertical="center"/>
    </xf>
    <xf numFmtId="165" fontId="16" fillId="15" borderId="64" xfId="8" applyFill="1" applyBorder="1">
      <alignment horizontal="right" vertical="center" wrapText="1"/>
    </xf>
    <xf numFmtId="49" fontId="16" fillId="2" borderId="64" xfId="8" applyNumberFormat="1" applyBorder="1">
      <alignment horizontal="right" vertical="center" wrapText="1"/>
    </xf>
    <xf numFmtId="165" fontId="16" fillId="2" borderId="65" xfId="8" applyBorder="1" applyAlignment="1">
      <alignment horizontal="center" vertical="center" wrapText="1"/>
    </xf>
    <xf numFmtId="165" fontId="16" fillId="2" borderId="64" xfId="8" applyBorder="1">
      <alignment horizontal="right" vertical="center" wrapText="1"/>
    </xf>
    <xf numFmtId="165" fontId="16" fillId="15" borderId="1" xfId="8" applyFill="1" applyBorder="1">
      <alignment horizontal="right" vertical="center" wrapText="1"/>
    </xf>
    <xf numFmtId="165" fontId="16" fillId="2" borderId="66" xfId="8" applyBorder="1">
      <alignment horizontal="right" vertical="center" wrapText="1"/>
    </xf>
    <xf numFmtId="165" fontId="16" fillId="15" borderId="67" xfId="8" applyFill="1" applyBorder="1">
      <alignment horizontal="right" vertical="center" wrapText="1"/>
    </xf>
    <xf numFmtId="49" fontId="16" fillId="2" borderId="67" xfId="8" applyNumberFormat="1" applyBorder="1">
      <alignment horizontal="right" vertical="center" wrapText="1"/>
    </xf>
    <xf numFmtId="165" fontId="16" fillId="2" borderId="68" xfId="8" applyBorder="1" applyAlignment="1">
      <alignment horizontal="center" vertical="center" wrapText="1"/>
    </xf>
    <xf numFmtId="165" fontId="16" fillId="2" borderId="69" xfId="8" applyBorder="1">
      <alignment horizontal="right" vertical="center" wrapText="1"/>
    </xf>
    <xf numFmtId="165" fontId="16" fillId="2" borderId="67" xfId="8" applyBorder="1">
      <alignment horizontal="right" vertical="center" wrapText="1"/>
    </xf>
    <xf numFmtId="165" fontId="17" fillId="2" borderId="70" xfId="8" applyFont="1" applyBorder="1">
      <alignment horizontal="right" vertical="center" wrapText="1"/>
    </xf>
    <xf numFmtId="165" fontId="25" fillId="2" borderId="71" xfId="8" applyFont="1" applyBorder="1" applyAlignment="1">
      <alignment horizontal="center" vertical="center" wrapText="1"/>
    </xf>
    <xf numFmtId="165" fontId="16" fillId="2" borderId="71" xfId="8" applyFont="1" applyBorder="1">
      <alignment horizontal="right" vertical="center" wrapText="1"/>
    </xf>
    <xf numFmtId="0" fontId="42" fillId="8" borderId="14" xfId="27" applyFont="1" applyFill="1" applyBorder="1" applyAlignment="1">
      <alignment vertical="center"/>
    </xf>
    <xf numFmtId="0" fontId="17" fillId="8" borderId="15" xfId="27" applyFont="1" applyFill="1" applyBorder="1" applyAlignment="1">
      <alignment horizontal="right" vertical="center"/>
    </xf>
    <xf numFmtId="0" fontId="16" fillId="8" borderId="15" xfId="27" applyFont="1" applyFill="1" applyBorder="1" applyAlignment="1">
      <alignment horizontal="right" vertical="center"/>
    </xf>
    <xf numFmtId="0" fontId="16" fillId="8" borderId="5" xfId="19" applyFont="1">
      <alignment horizontal="center" vertical="center" wrapText="1"/>
      <protection hidden="1"/>
    </xf>
    <xf numFmtId="165" fontId="16" fillId="16" borderId="64" xfId="8" applyFill="1" applyBorder="1">
      <alignment horizontal="right" vertical="center" wrapText="1"/>
    </xf>
    <xf numFmtId="165" fontId="17" fillId="2" borderId="47" xfId="8" applyFont="1" applyBorder="1">
      <alignment horizontal="right" vertical="center" wrapText="1"/>
    </xf>
    <xf numFmtId="165" fontId="16" fillId="2" borderId="48" xfId="8" applyFont="1" applyBorder="1">
      <alignment horizontal="right" vertical="center" wrapText="1"/>
    </xf>
    <xf numFmtId="165" fontId="16" fillId="16" borderId="1" xfId="8" applyFill="1" applyBorder="1">
      <alignment horizontal="right" vertical="center" wrapText="1"/>
    </xf>
    <xf numFmtId="0" fontId="16" fillId="7" borderId="72" xfId="18" applyBorder="1">
      <alignment horizontal="right" vertical="center" readingOrder="2"/>
    </xf>
    <xf numFmtId="0" fontId="17" fillId="8" borderId="5" xfId="19" applyFont="1">
      <alignment horizontal="center" vertical="center" wrapText="1"/>
      <protection hidden="1"/>
    </xf>
    <xf numFmtId="165" fontId="16" fillId="17" borderId="64" xfId="8" applyFill="1" applyBorder="1">
      <alignment horizontal="right" vertical="center" wrapText="1"/>
    </xf>
    <xf numFmtId="165" fontId="16" fillId="17" borderId="1" xfId="8" applyFill="1" applyBorder="1">
      <alignment horizontal="right" vertical="center" wrapText="1"/>
    </xf>
    <xf numFmtId="165" fontId="16" fillId="17" borderId="60" xfId="8" applyFill="1" applyBorder="1">
      <alignment horizontal="right" vertical="center" wrapText="1"/>
    </xf>
    <xf numFmtId="0" fontId="16" fillId="8" borderId="16" xfId="27" applyFont="1" applyFill="1" applyBorder="1" applyAlignment="1">
      <alignment horizontal="right" vertical="center"/>
    </xf>
    <xf numFmtId="165" fontId="42" fillId="18" borderId="73" xfId="8" applyFont="1" applyFill="1" applyBorder="1" applyAlignment="1">
      <alignment vertical="center" wrapText="1"/>
    </xf>
    <xf numFmtId="165" fontId="4" fillId="18" borderId="64" xfId="8" applyFont="1" applyFill="1" applyBorder="1">
      <alignment horizontal="right" vertical="center" wrapText="1"/>
    </xf>
    <xf numFmtId="49" fontId="4" fillId="2" borderId="1" xfId="8" applyNumberFormat="1" applyFont="1" applyBorder="1">
      <alignment horizontal="right" vertical="center" wrapText="1"/>
    </xf>
    <xf numFmtId="165" fontId="4" fillId="2" borderId="65" xfId="8" applyFont="1" applyBorder="1" applyAlignment="1">
      <alignment horizontal="center" vertical="center" wrapText="1"/>
    </xf>
    <xf numFmtId="165" fontId="4" fillId="2" borderId="46" xfId="8" applyFont="1" applyBorder="1">
      <alignment horizontal="right" vertical="center" wrapText="1"/>
    </xf>
    <xf numFmtId="165" fontId="4" fillId="2" borderId="64" xfId="8" applyFont="1" applyBorder="1">
      <alignment horizontal="right" vertical="center" wrapText="1"/>
    </xf>
    <xf numFmtId="165" fontId="42" fillId="18" borderId="74" xfId="8" applyFont="1" applyFill="1" applyBorder="1" applyAlignment="1">
      <alignment vertical="center" wrapText="1"/>
    </xf>
    <xf numFmtId="165" fontId="4" fillId="18" borderId="59" xfId="8" applyFont="1" applyFill="1" applyBorder="1">
      <alignment horizontal="right" vertical="center" wrapText="1"/>
    </xf>
    <xf numFmtId="165" fontId="4" fillId="2" borderId="58" xfId="8" applyFont="1" applyBorder="1" applyAlignment="1">
      <alignment horizontal="center" vertical="center" wrapText="1"/>
    </xf>
    <xf numFmtId="165" fontId="4" fillId="2" borderId="75" xfId="8" applyFont="1" applyBorder="1">
      <alignment horizontal="right" vertical="center" wrapText="1"/>
    </xf>
    <xf numFmtId="165" fontId="4" fillId="2" borderId="59" xfId="8" applyFont="1" applyBorder="1">
      <alignment horizontal="right" vertical="center" wrapText="1"/>
    </xf>
    <xf numFmtId="165" fontId="42" fillId="18" borderId="1" xfId="8" applyFont="1" applyFill="1" applyBorder="1" applyAlignment="1">
      <alignment vertical="center" wrapText="1"/>
    </xf>
    <xf numFmtId="165" fontId="4" fillId="18" borderId="1" xfId="8" applyFont="1" applyFill="1" applyBorder="1">
      <alignment horizontal="right" vertical="center" wrapText="1"/>
    </xf>
    <xf numFmtId="165" fontId="4" fillId="2" borderId="54" xfId="8" applyFont="1" applyBorder="1" applyAlignment="1">
      <alignment horizontal="center" vertical="center" wrapText="1"/>
    </xf>
    <xf numFmtId="165" fontId="4" fillId="2" borderId="49" xfId="8" applyFont="1" applyBorder="1">
      <alignment horizontal="right" vertical="center" wrapText="1"/>
    </xf>
    <xf numFmtId="165" fontId="4" fillId="2" borderId="1" xfId="8" applyFont="1" applyBorder="1">
      <alignment horizontal="right" vertical="center" wrapText="1"/>
    </xf>
    <xf numFmtId="165" fontId="4" fillId="18" borderId="60" xfId="8" applyFont="1" applyFill="1" applyBorder="1">
      <alignment horizontal="right" vertical="center" wrapText="1"/>
    </xf>
    <xf numFmtId="49" fontId="4" fillId="2" borderId="60" xfId="8" applyNumberFormat="1" applyFont="1" applyBorder="1">
      <alignment horizontal="right" vertical="center" wrapText="1"/>
    </xf>
    <xf numFmtId="165" fontId="4" fillId="2" borderId="56" xfId="8" applyFont="1" applyBorder="1" applyAlignment="1">
      <alignment horizontal="center" vertical="center" wrapText="1"/>
    </xf>
    <xf numFmtId="165" fontId="4" fillId="2" borderId="61" xfId="8" applyFont="1" applyBorder="1">
      <alignment horizontal="right" vertical="center" wrapText="1"/>
    </xf>
    <xf numFmtId="165" fontId="4" fillId="2" borderId="60" xfId="8" applyFont="1" applyBorder="1">
      <alignment horizontal="right" vertical="center" wrapText="1"/>
    </xf>
    <xf numFmtId="165" fontId="42" fillId="18" borderId="76" xfId="8" applyFont="1" applyFill="1" applyBorder="1" applyAlignment="1">
      <alignment vertical="center" wrapText="1"/>
    </xf>
    <xf numFmtId="165" fontId="42" fillId="2" borderId="76" xfId="8" applyFont="1" applyBorder="1" applyAlignment="1">
      <alignment vertical="center" wrapText="1"/>
    </xf>
    <xf numFmtId="165" fontId="42" fillId="19" borderId="76" xfId="8" applyFont="1" applyFill="1" applyBorder="1" applyAlignment="1">
      <alignment vertical="center" wrapText="1"/>
    </xf>
    <xf numFmtId="165" fontId="4" fillId="19" borderId="60" xfId="8" applyFont="1" applyFill="1" applyBorder="1">
      <alignment horizontal="right" vertical="center" wrapText="1"/>
    </xf>
    <xf numFmtId="165" fontId="4" fillId="2" borderId="77" xfId="8" applyFont="1" applyBorder="1">
      <alignment horizontal="right" vertical="center" wrapText="1"/>
    </xf>
    <xf numFmtId="176" fontId="4" fillId="5" borderId="78" xfId="31" applyBorder="1" applyAlignment="1">
      <alignment horizontal="center" vertical="center"/>
    </xf>
    <xf numFmtId="165" fontId="16" fillId="2" borderId="57" xfId="8" applyFont="1" applyBorder="1">
      <alignment horizontal="right" vertical="center" wrapText="1"/>
    </xf>
    <xf numFmtId="165" fontId="42" fillId="2" borderId="79" xfId="8" applyFont="1" applyBorder="1" applyAlignment="1">
      <alignment vertical="center" wrapText="1"/>
    </xf>
    <xf numFmtId="165" fontId="4" fillId="2" borderId="67" xfId="8" applyFont="1" applyBorder="1">
      <alignment horizontal="right" vertical="center" wrapText="1"/>
    </xf>
    <xf numFmtId="49" fontId="4" fillId="2" borderId="67" xfId="8" applyNumberFormat="1" applyFont="1" applyBorder="1">
      <alignment horizontal="right" vertical="center" wrapText="1"/>
    </xf>
    <xf numFmtId="165" fontId="4" fillId="2" borderId="68" xfId="8" applyFont="1" applyBorder="1" applyAlignment="1">
      <alignment horizontal="center" vertical="center" wrapText="1"/>
    </xf>
    <xf numFmtId="165" fontId="4" fillId="2" borderId="69" xfId="8" applyFont="1" applyBorder="1">
      <alignment horizontal="right" vertical="center" wrapText="1"/>
    </xf>
    <xf numFmtId="165" fontId="16" fillId="2" borderId="80" xfId="8" applyFont="1" applyBorder="1">
      <alignment horizontal="right" vertical="center" wrapText="1"/>
    </xf>
    <xf numFmtId="0" fontId="42" fillId="5" borderId="24" xfId="27" applyFont="1" applyFill="1" applyBorder="1" applyAlignment="1">
      <alignment vertical="center"/>
    </xf>
    <xf numFmtId="0" fontId="4" fillId="5" borderId="24" xfId="27" applyFill="1" applyBorder="1" applyAlignment="1">
      <alignment horizontal="right" vertical="center"/>
    </xf>
    <xf numFmtId="49" fontId="4" fillId="5" borderId="24" xfId="27" applyNumberFormat="1" applyFill="1" applyBorder="1" applyAlignment="1">
      <alignment horizontal="right" vertical="center"/>
    </xf>
    <xf numFmtId="165" fontId="4" fillId="5" borderId="24" xfId="27" applyNumberFormat="1" applyFill="1" applyBorder="1" applyAlignment="1">
      <alignment horizontal="center" vertical="center" shrinkToFit="1"/>
    </xf>
    <xf numFmtId="0" fontId="44" fillId="5" borderId="24" xfId="27" applyFont="1" applyFill="1" applyBorder="1" applyAlignment="1">
      <alignment horizontal="right" vertical="center"/>
    </xf>
    <xf numFmtId="165" fontId="25" fillId="5" borderId="24" xfId="27" applyNumberFormat="1" applyFont="1" applyFill="1" applyBorder="1" applyAlignment="1">
      <alignment horizontal="center" vertical="center" shrinkToFit="1"/>
    </xf>
    <xf numFmtId="0" fontId="16" fillId="5" borderId="24" xfId="27" applyFont="1" applyFill="1" applyBorder="1" applyAlignment="1">
      <alignment horizontal="right" vertical="center"/>
    </xf>
    <xf numFmtId="0" fontId="4" fillId="5" borderId="25" xfId="27" applyFill="1" applyBorder="1" applyAlignment="1">
      <alignment horizontal="right" vertical="center"/>
    </xf>
    <xf numFmtId="0" fontId="16" fillId="2" borderId="24" xfId="12" applyBorder="1"/>
    <xf numFmtId="0" fontId="16" fillId="2" borderId="0" xfId="12" applyAlignment="1"/>
    <xf numFmtId="49" fontId="16" fillId="2" borderId="0" xfId="12" applyNumberFormat="1"/>
    <xf numFmtId="0" fontId="46" fillId="7" borderId="7" xfId="21" applyFont="1" applyFill="1" applyProtection="1">
      <alignment horizontal="right" vertical="center" readingOrder="2"/>
    </xf>
    <xf numFmtId="0" fontId="46" fillId="7" borderId="0" xfId="18" applyFont="1" applyFill="1" applyProtection="1">
      <alignment horizontal="right" vertical="center" readingOrder="2"/>
    </xf>
    <xf numFmtId="0" fontId="46" fillId="7" borderId="21" xfId="18" applyFont="1" applyFill="1" applyBorder="1" applyAlignment="1" applyProtection="1">
      <alignment horizontal="right" vertical="center" readingOrder="2"/>
    </xf>
    <xf numFmtId="0" fontId="47" fillId="7" borderId="21" xfId="18" applyFont="1" applyFill="1" applyBorder="1" applyAlignment="1" applyProtection="1">
      <alignment horizontal="right" vertical="center" readingOrder="2"/>
    </xf>
    <xf numFmtId="0" fontId="48" fillId="7" borderId="6" xfId="20" applyFont="1" applyProtection="1"/>
    <xf numFmtId="0" fontId="46" fillId="7" borderId="7" xfId="21" applyFont="1" applyFill="1" applyAlignment="1" applyProtection="1">
      <alignment horizontal="right" vertical="center" readingOrder="2"/>
    </xf>
    <xf numFmtId="0" fontId="22" fillId="20" borderId="0" xfId="15" applyFont="1" applyFill="1" applyAlignment="1" applyProtection="1">
      <alignment horizontal="right" vertical="center"/>
    </xf>
    <xf numFmtId="0" fontId="46" fillId="20" borderId="0" xfId="18" applyFont="1" applyFill="1" applyProtection="1">
      <alignment horizontal="right" vertical="center" readingOrder="2"/>
    </xf>
    <xf numFmtId="0" fontId="46" fillId="20" borderId="0" xfId="18" applyFont="1" applyFill="1" applyBorder="1" applyAlignment="1" applyProtection="1">
      <alignment horizontal="right" vertical="center" readingOrder="2"/>
    </xf>
    <xf numFmtId="0" fontId="46" fillId="7" borderId="0" xfId="18" applyFont="1" applyFill="1" applyBorder="1" applyAlignment="1" applyProtection="1">
      <alignment horizontal="right" vertical="center" readingOrder="2"/>
    </xf>
    <xf numFmtId="0" fontId="46" fillId="7" borderId="18" xfId="21" applyFont="1" applyBorder="1" applyProtection="1">
      <alignment horizontal="right" vertical="center" readingOrder="2"/>
    </xf>
    <xf numFmtId="0" fontId="46" fillId="7" borderId="19" xfId="18" applyFont="1" applyBorder="1" applyProtection="1">
      <alignment horizontal="right" vertical="center" readingOrder="2"/>
    </xf>
    <xf numFmtId="0" fontId="46" fillId="7" borderId="19" xfId="18" applyFont="1" applyBorder="1" applyAlignment="1" applyProtection="1">
      <alignment horizontal="right" vertical="center" readingOrder="2"/>
    </xf>
    <xf numFmtId="0" fontId="48" fillId="7" borderId="20" xfId="20" applyFont="1" applyBorder="1" applyProtection="1"/>
    <xf numFmtId="0" fontId="18" fillId="8" borderId="5" xfId="19" applyAlignment="1" applyProtection="1">
      <alignment horizontal="right" vertical="center" wrapText="1"/>
    </xf>
    <xf numFmtId="0" fontId="18" fillId="8" borderId="5" xfId="19" applyFont="1" applyAlignment="1" applyProtection="1">
      <alignment horizontal="right" vertical="center" wrapText="1"/>
    </xf>
    <xf numFmtId="0" fontId="16" fillId="7" borderId="21" xfId="18" applyBorder="1" applyProtection="1">
      <alignment horizontal="right" vertical="center" readingOrder="2"/>
    </xf>
    <xf numFmtId="0" fontId="16" fillId="7" borderId="23" xfId="18" applyBorder="1" applyProtection="1">
      <alignment horizontal="right" vertical="center" readingOrder="2"/>
    </xf>
    <xf numFmtId="0" fontId="16" fillId="7" borderId="0" xfId="18" applyBorder="1" applyAlignment="1" applyProtection="1">
      <alignment horizontal="right" vertical="center" readingOrder="2"/>
    </xf>
    <xf numFmtId="0" fontId="16" fillId="7" borderId="0" xfId="18" applyFont="1" applyBorder="1" applyAlignment="1" applyProtection="1">
      <alignment horizontal="right" vertical="center" readingOrder="2"/>
    </xf>
    <xf numFmtId="0" fontId="16" fillId="7" borderId="6" xfId="18" applyBorder="1" applyAlignment="1" applyProtection="1">
      <alignment horizontal="right" vertical="center" readingOrder="2"/>
    </xf>
    <xf numFmtId="165" fontId="4" fillId="2" borderId="0" xfId="9" applyBorder="1" applyAlignment="1" applyProtection="1">
      <alignment horizontal="right" vertical="center" readingOrder="2"/>
    </xf>
    <xf numFmtId="176" fontId="4" fillId="5" borderId="10" xfId="31" applyProtection="1">
      <alignment vertical="center"/>
    </xf>
    <xf numFmtId="0" fontId="16" fillId="7" borderId="20" xfId="18" applyBorder="1" applyProtection="1">
      <alignment horizontal="right" vertical="center" readingOrder="2"/>
    </xf>
    <xf numFmtId="0" fontId="16" fillId="2" borderId="0" xfId="12" applyFont="1" applyProtection="1"/>
    <xf numFmtId="165" fontId="16" fillId="2" borderId="61" xfId="8" applyFont="1" applyBorder="1">
      <alignment horizontal="right" vertical="center" wrapText="1"/>
    </xf>
    <xf numFmtId="165" fontId="17" fillId="13" borderId="63" xfId="8" applyFont="1" applyFill="1" applyBorder="1" applyAlignment="1">
      <alignment horizontal="right" vertical="center"/>
    </xf>
    <xf numFmtId="0" fontId="16" fillId="2" borderId="60" xfId="8" applyNumberFormat="1" applyBorder="1">
      <alignment horizontal="right" vertical="center" wrapText="1"/>
    </xf>
    <xf numFmtId="0" fontId="16" fillId="2" borderId="60" xfId="8" applyNumberFormat="1" applyFont="1" applyBorder="1">
      <alignment horizontal="right" vertical="center" wrapText="1"/>
    </xf>
    <xf numFmtId="0" fontId="4" fillId="5" borderId="0" xfId="27" applyNumberFormat="1" applyFill="1" applyBorder="1" applyAlignment="1">
      <alignment horizontal="right" vertical="center"/>
    </xf>
    <xf numFmtId="0" fontId="4" fillId="5" borderId="0" xfId="27" applyNumberFormat="1" applyFill="1" applyAlignment="1">
      <alignment horizontal="right" vertical="center"/>
    </xf>
    <xf numFmtId="0" fontId="18" fillId="8" borderId="5" xfId="19" applyNumberFormat="1">
      <alignment horizontal="center" vertical="center" wrapText="1"/>
      <protection hidden="1"/>
    </xf>
    <xf numFmtId="0" fontId="16" fillId="2" borderId="1" xfId="8" applyNumberFormat="1">
      <alignment horizontal="right" vertical="center" wrapText="1"/>
    </xf>
    <xf numFmtId="0" fontId="16" fillId="2" borderId="1" xfId="8" applyNumberFormat="1" applyBorder="1">
      <alignment horizontal="right" vertical="center" wrapText="1"/>
    </xf>
    <xf numFmtId="0" fontId="16" fillId="2" borderId="64" xfId="8" applyNumberFormat="1" applyBorder="1">
      <alignment horizontal="right" vertical="center" wrapText="1"/>
    </xf>
    <xf numFmtId="0" fontId="16" fillId="2" borderId="67" xfId="8" applyNumberFormat="1" applyBorder="1">
      <alignment horizontal="right" vertical="center" wrapText="1"/>
    </xf>
    <xf numFmtId="0" fontId="4" fillId="2" borderId="1" xfId="8" applyNumberFormat="1" applyFont="1" applyBorder="1">
      <alignment horizontal="right" vertical="center" wrapText="1"/>
    </xf>
    <xf numFmtId="0" fontId="4" fillId="2" borderId="60" xfId="8" applyNumberFormat="1" applyFont="1" applyBorder="1">
      <alignment horizontal="right" vertical="center" wrapText="1"/>
    </xf>
    <xf numFmtId="0" fontId="4" fillId="2" borderId="67" xfId="8" applyNumberFormat="1" applyFont="1" applyBorder="1">
      <alignment horizontal="right" vertical="center" wrapText="1"/>
    </xf>
    <xf numFmtId="0" fontId="4" fillId="5" borderId="24" xfId="27" applyNumberFormat="1" applyFill="1" applyBorder="1" applyAlignment="1">
      <alignment horizontal="right" vertical="center"/>
    </xf>
    <xf numFmtId="0" fontId="16" fillId="2" borderId="0" xfId="12" applyNumberFormat="1"/>
    <xf numFmtId="165" fontId="16" fillId="13" borderId="81" xfId="8" applyFill="1" applyBorder="1" applyAlignment="1">
      <alignment horizontal="center" vertical="center" wrapText="1"/>
    </xf>
    <xf numFmtId="165" fontId="16" fillId="14" borderId="60" xfId="8" applyFont="1" applyFill="1" applyBorder="1">
      <alignment horizontal="right" vertical="center" wrapText="1"/>
    </xf>
    <xf numFmtId="165" fontId="16" fillId="13" borderId="82" xfId="8" applyFill="1" applyBorder="1" applyAlignment="1">
      <alignment horizontal="center" vertical="center" wrapText="1"/>
    </xf>
    <xf numFmtId="165" fontId="16" fillId="2" borderId="60" xfId="8" applyFont="1" applyBorder="1">
      <alignment horizontal="right" vertical="center" wrapText="1"/>
    </xf>
    <xf numFmtId="0" fontId="16" fillId="13" borderId="0" xfId="12" applyFont="1" applyFill="1" applyAlignment="1"/>
    <xf numFmtId="174" fontId="4" fillId="5" borderId="12" xfId="33" applyNumberFormat="1"/>
    <xf numFmtId="174" fontId="4" fillId="2" borderId="35" xfId="10" applyFont="1" applyBorder="1"/>
    <xf numFmtId="174" fontId="4" fillId="3" borderId="3" xfId="13" applyNumberFormat="1"/>
    <xf numFmtId="174" fontId="4" fillId="2" borderId="12" xfId="33" applyNumberFormat="1" applyFont="1" applyFill="1" applyBorder="1" applyProtection="1">
      <protection hidden="1"/>
    </xf>
    <xf numFmtId="174" fontId="4" fillId="2" borderId="3" xfId="13" applyNumberFormat="1" applyFont="1" applyFill="1" applyBorder="1" applyProtection="1">
      <protection hidden="1"/>
    </xf>
    <xf numFmtId="165" fontId="4" fillId="7" borderId="2" xfId="17" applyFill="1">
      <protection locked="0"/>
    </xf>
    <xf numFmtId="165" fontId="4" fillId="7" borderId="2" xfId="9" applyFill="1"/>
    <xf numFmtId="174" fontId="4" fillId="7" borderId="2" xfId="10" applyFill="1"/>
    <xf numFmtId="174" fontId="4" fillId="2" borderId="2" xfId="10" applyFont="1" applyProtection="1"/>
    <xf numFmtId="165" fontId="16" fillId="2" borderId="1" xfId="8" applyFont="1" applyBorder="1">
      <alignment horizontal="right" vertical="center" wrapText="1"/>
    </xf>
    <xf numFmtId="165" fontId="4" fillId="18" borderId="83" xfId="8" applyFont="1" applyFill="1" applyBorder="1">
      <alignment horizontal="right" vertical="center" wrapText="1"/>
    </xf>
    <xf numFmtId="165" fontId="16" fillId="2" borderId="1" xfId="8" applyFont="1">
      <alignment horizontal="right" vertical="center" wrapText="1"/>
    </xf>
    <xf numFmtId="165" fontId="16" fillId="2" borderId="49" xfId="8" applyFont="1" applyBorder="1">
      <alignment horizontal="right" vertical="center" wrapText="1"/>
    </xf>
    <xf numFmtId="165" fontId="17" fillId="2" borderId="1" xfId="8" applyFont="1" applyAlignment="1">
      <alignment vertical="center" wrapText="1"/>
    </xf>
    <xf numFmtId="0" fontId="18" fillId="8" borderId="5" xfId="19" applyFont="1" applyAlignment="1">
      <alignment vertical="center" wrapText="1"/>
      <protection hidden="1"/>
    </xf>
    <xf numFmtId="165" fontId="17" fillId="14" borderId="1" xfId="8" applyFont="1" applyFill="1" applyAlignment="1">
      <alignment vertical="center" wrapText="1"/>
    </xf>
    <xf numFmtId="165" fontId="17" fillId="14" borderId="84" xfId="8" applyFont="1" applyFill="1" applyBorder="1" applyAlignment="1">
      <alignment vertical="center" wrapText="1"/>
    </xf>
    <xf numFmtId="165" fontId="17" fillId="14" borderId="76" xfId="8" applyFont="1" applyFill="1" applyBorder="1" applyAlignment="1">
      <alignment vertical="center" wrapText="1"/>
    </xf>
    <xf numFmtId="165" fontId="17" fillId="15" borderId="73" xfId="8" applyFont="1" applyFill="1" applyBorder="1" applyAlignment="1">
      <alignment vertical="center" wrapText="1"/>
    </xf>
    <xf numFmtId="165" fontId="17" fillId="15" borderId="84" xfId="8" applyFont="1" applyFill="1" applyBorder="1" applyAlignment="1">
      <alignment vertical="center" wrapText="1"/>
    </xf>
    <xf numFmtId="165" fontId="17" fillId="15" borderId="79" xfId="8" applyFont="1" applyFill="1" applyBorder="1" applyAlignment="1">
      <alignment vertical="center" wrapText="1"/>
    </xf>
    <xf numFmtId="165" fontId="17" fillId="16" borderId="84" xfId="8" applyFont="1" applyFill="1" applyBorder="1" applyAlignment="1">
      <alignment vertical="center" wrapText="1"/>
    </xf>
    <xf numFmtId="165" fontId="17" fillId="16" borderId="1" xfId="8" applyFont="1" applyFill="1" applyBorder="1" applyAlignment="1">
      <alignment vertical="center" wrapText="1"/>
    </xf>
    <xf numFmtId="165" fontId="17" fillId="17" borderId="73" xfId="8" applyFont="1" applyFill="1" applyBorder="1" applyAlignment="1">
      <alignment vertical="center" wrapText="1"/>
    </xf>
    <xf numFmtId="165" fontId="17" fillId="17" borderId="84" xfId="8" applyFont="1" applyFill="1" applyBorder="1" applyAlignment="1">
      <alignment vertical="center" wrapText="1"/>
    </xf>
    <xf numFmtId="0" fontId="16" fillId="2" borderId="0" xfId="12" applyBorder="1" applyProtection="1"/>
    <xf numFmtId="0" fontId="16" fillId="7" borderId="7" xfId="21" applyFont="1" applyAlignment="1" applyProtection="1">
      <alignment horizontal="right" vertical="center" wrapText="1" readingOrder="2"/>
    </xf>
    <xf numFmtId="0" fontId="16" fillId="7" borderId="0" xfId="18" applyBorder="1" applyProtection="1">
      <alignment horizontal="right" vertical="center" readingOrder="2"/>
    </xf>
    <xf numFmtId="0" fontId="16" fillId="7" borderId="0" xfId="18" applyFont="1" applyBorder="1" applyProtection="1">
      <alignment horizontal="right" vertical="center" readingOrder="2"/>
    </xf>
    <xf numFmtId="165" fontId="4" fillId="6" borderId="2" xfId="17" applyBorder="1" applyProtection="1">
      <protection locked="0"/>
    </xf>
    <xf numFmtId="165" fontId="4" fillId="3" borderId="3" xfId="13" quotePrefix="1" applyBorder="1" applyProtection="1"/>
    <xf numFmtId="0" fontId="16" fillId="7" borderId="0" xfId="18" quotePrefix="1" applyBorder="1" applyProtection="1">
      <alignment horizontal="right" vertical="center" readingOrder="2"/>
    </xf>
    <xf numFmtId="0" fontId="50" fillId="8" borderId="85" xfId="18" applyFont="1" applyFill="1" applyBorder="1" applyProtection="1">
      <alignment horizontal="right" vertical="center" readingOrder="2"/>
    </xf>
    <xf numFmtId="0" fontId="49" fillId="8" borderId="86" xfId="22" applyFont="1" applyFill="1" applyBorder="1" applyProtection="1">
      <alignment horizontal="right" vertical="center"/>
    </xf>
    <xf numFmtId="0" fontId="30" fillId="7" borderId="7" xfId="22" applyFont="1" applyBorder="1" applyProtection="1">
      <alignment horizontal="right" vertical="center"/>
    </xf>
    <xf numFmtId="0" fontId="16" fillId="7" borderId="6" xfId="18" applyBorder="1" applyProtection="1">
      <alignment horizontal="right" vertical="center" readingOrder="2"/>
    </xf>
    <xf numFmtId="0" fontId="16" fillId="7" borderId="7" xfId="18" applyFont="1" applyBorder="1" applyProtection="1">
      <alignment horizontal="right" vertical="center" readingOrder="2"/>
    </xf>
    <xf numFmtId="165" fontId="4" fillId="2" borderId="87" xfId="9" applyBorder="1" applyProtection="1"/>
    <xf numFmtId="0" fontId="16" fillId="7" borderId="7" xfId="18" applyBorder="1" applyProtection="1">
      <alignment horizontal="right" vertical="center" readingOrder="2"/>
    </xf>
    <xf numFmtId="0" fontId="37" fillId="7" borderId="7" xfId="18" applyFont="1" applyBorder="1" applyProtection="1">
      <alignment horizontal="right" vertical="center" readingOrder="2"/>
    </xf>
    <xf numFmtId="165" fontId="4" fillId="3" borderId="88" xfId="13" quotePrefix="1" applyBorder="1" applyProtection="1"/>
    <xf numFmtId="0" fontId="16" fillId="7" borderId="18" xfId="18" applyBorder="1" applyProtection="1">
      <alignment horizontal="right" vertical="center" readingOrder="2"/>
    </xf>
    <xf numFmtId="0" fontId="18" fillId="8" borderId="6" xfId="18" applyFont="1" applyFill="1" applyBorder="1" applyProtection="1">
      <alignment horizontal="right" vertical="center" readingOrder="2"/>
    </xf>
    <xf numFmtId="165" fontId="4" fillId="3" borderId="3" xfId="13" applyFont="1" applyBorder="1" applyProtection="1"/>
    <xf numFmtId="165" fontId="4" fillId="21" borderId="2" xfId="17" applyFill="1" applyBorder="1" applyProtection="1"/>
    <xf numFmtId="0" fontId="51" fillId="2" borderId="0" xfId="22" applyFont="1" applyFill="1" applyBorder="1" applyProtection="1">
      <alignment horizontal="right" vertical="center"/>
    </xf>
    <xf numFmtId="0" fontId="16" fillId="2" borderId="89" xfId="18" applyFont="1" applyFill="1" applyBorder="1" applyProtection="1">
      <alignment horizontal="right" vertical="center" readingOrder="2"/>
    </xf>
    <xf numFmtId="0" fontId="17" fillId="2" borderId="89" xfId="18" applyFont="1" applyFill="1" applyBorder="1" applyProtection="1">
      <alignment horizontal="right" vertical="center" readingOrder="2"/>
    </xf>
    <xf numFmtId="0" fontId="16" fillId="2" borderId="0" xfId="18" applyFont="1" applyFill="1" applyBorder="1" applyAlignment="1" applyProtection="1">
      <alignment horizontal="right" vertical="center" wrapText="1" readingOrder="2"/>
    </xf>
    <xf numFmtId="165" fontId="4" fillId="2" borderId="0" xfId="9" applyFont="1" applyFill="1" applyBorder="1" applyAlignment="1" applyProtection="1">
      <alignment wrapText="1"/>
    </xf>
    <xf numFmtId="0" fontId="16" fillId="2" borderId="0" xfId="18" applyFont="1" applyFill="1" applyBorder="1" applyAlignment="1" applyProtection="1">
      <alignment horizontal="center" vertical="center" wrapText="1" readingOrder="2"/>
    </xf>
    <xf numFmtId="165" fontId="4" fillId="2" borderId="0" xfId="9" applyFont="1" applyFill="1" applyBorder="1" applyAlignment="1" applyProtection="1">
      <alignment horizontal="center" wrapText="1"/>
    </xf>
    <xf numFmtId="0" fontId="16" fillId="7" borderId="0" xfId="18" applyFont="1" applyBorder="1" applyAlignment="1" applyProtection="1">
      <alignment horizontal="center" vertical="center" wrapText="1" readingOrder="2"/>
    </xf>
    <xf numFmtId="0" fontId="16" fillId="7" borderId="0" xfId="18" applyBorder="1" applyAlignment="1" applyProtection="1">
      <alignment horizontal="center" vertical="center" readingOrder="2"/>
    </xf>
    <xf numFmtId="165" fontId="4" fillId="2" borderId="0" xfId="17" applyFont="1" applyFill="1" applyBorder="1" applyAlignment="1" applyProtection="1">
      <alignment horizontal="center" wrapText="1"/>
    </xf>
    <xf numFmtId="165" fontId="17" fillId="22" borderId="62" xfId="8" applyFont="1" applyFill="1" applyBorder="1">
      <alignment horizontal="right" vertical="center" wrapText="1"/>
    </xf>
    <xf numFmtId="165" fontId="4" fillId="2" borderId="90" xfId="32" quotePrefix="1" applyFont="1" applyFill="1" applyBorder="1" applyProtection="1"/>
    <xf numFmtId="49" fontId="4" fillId="6" borderId="2" xfId="17" applyNumberFormat="1" applyProtection="1">
      <protection locked="0"/>
    </xf>
    <xf numFmtId="49" fontId="4" fillId="6" borderId="2" xfId="17" applyNumberFormat="1" applyFont="1" applyProtection="1">
      <protection locked="0"/>
    </xf>
    <xf numFmtId="0" fontId="17" fillId="2" borderId="0" xfId="21" applyFont="1" applyFill="1" applyBorder="1" applyProtection="1">
      <alignment horizontal="right" vertical="center" readingOrder="2"/>
      <protection hidden="1"/>
    </xf>
    <xf numFmtId="165" fontId="4" fillId="2" borderId="0" xfId="13" applyNumberFormat="1" applyFont="1" applyFill="1" applyBorder="1" applyProtection="1">
      <protection hidden="1"/>
    </xf>
    <xf numFmtId="0" fontId="16" fillId="7" borderId="0" xfId="18" applyFont="1" applyBorder="1" applyProtection="1">
      <alignment horizontal="right" vertical="center" readingOrder="2"/>
      <protection locked="0"/>
    </xf>
    <xf numFmtId="0" fontId="16" fillId="7" borderId="7" xfId="21" applyFont="1" applyFill="1" applyProtection="1">
      <alignment horizontal="right" vertical="center" readingOrder="2"/>
    </xf>
    <xf numFmtId="0" fontId="16" fillId="7" borderId="0" xfId="18" applyBorder="1" applyProtection="1">
      <alignment horizontal="right" vertical="center" readingOrder="2"/>
      <protection locked="0"/>
    </xf>
    <xf numFmtId="0" fontId="18" fillId="8" borderId="5" xfId="19" applyFont="1" applyAlignment="1">
      <alignment horizontal="center" vertical="center" wrapText="1" readingOrder="2"/>
      <protection hidden="1"/>
    </xf>
    <xf numFmtId="0" fontId="16" fillId="2" borderId="0" xfId="12" applyFont="1" applyAlignment="1">
      <alignment horizontal="left"/>
    </xf>
    <xf numFmtId="165" fontId="4" fillId="2" borderId="34" xfId="9" applyFont="1" applyFill="1" applyBorder="1" applyProtection="1">
      <protection hidden="1"/>
    </xf>
    <xf numFmtId="174" fontId="4" fillId="2" borderId="34" xfId="10" applyFont="1" applyFill="1" applyBorder="1" applyProtection="1">
      <protection hidden="1"/>
    </xf>
    <xf numFmtId="165" fontId="4" fillId="2" borderId="0" xfId="32" applyFont="1" applyFill="1" applyBorder="1" applyProtection="1"/>
    <xf numFmtId="0" fontId="33" fillId="2" borderId="0" xfId="21" applyFont="1" applyFill="1" applyBorder="1" applyAlignment="1">
      <alignment horizontal="right" readingOrder="2"/>
    </xf>
    <xf numFmtId="0" fontId="29" fillId="2" borderId="0" xfId="23" applyFont="1" applyFill="1" applyBorder="1" applyAlignment="1" applyProtection="1">
      <alignment horizontal="right" vertical="center" wrapText="1"/>
      <protection hidden="1"/>
    </xf>
    <xf numFmtId="174" fontId="4" fillId="2" borderId="0" xfId="13" applyNumberFormat="1" applyFont="1" applyFill="1" applyBorder="1" applyProtection="1">
      <protection hidden="1"/>
    </xf>
    <xf numFmtId="0" fontId="17" fillId="2" borderId="89" xfId="19" applyFont="1" applyFill="1" applyBorder="1" applyProtection="1">
      <alignment horizontal="center" vertical="center" wrapText="1"/>
      <protection hidden="1"/>
    </xf>
    <xf numFmtId="177" fontId="25" fillId="2" borderId="51" xfId="8" applyNumberFormat="1" applyFont="1" applyBorder="1" applyAlignment="1">
      <alignment horizontal="center" vertical="center" wrapText="1"/>
    </xf>
    <xf numFmtId="177" fontId="25" fillId="2" borderId="51" xfId="8" applyNumberFormat="1" applyFont="1" applyBorder="1" applyAlignment="1">
      <alignment horizontal="center" vertical="center" shrinkToFit="1"/>
    </xf>
    <xf numFmtId="177" fontId="18" fillId="8" borderId="5" xfId="19" applyNumberFormat="1" applyAlignment="1">
      <alignment horizontal="center" vertical="center" wrapText="1"/>
      <protection hidden="1"/>
    </xf>
    <xf numFmtId="177" fontId="25" fillId="2" borderId="27" xfId="8" applyNumberFormat="1" applyFont="1" applyBorder="1" applyAlignment="1">
      <alignment horizontal="center" vertical="center" wrapText="1"/>
    </xf>
    <xf numFmtId="177" fontId="17" fillId="2" borderId="51" xfId="8" applyNumberFormat="1" applyFont="1" applyBorder="1" applyAlignment="1">
      <alignment horizontal="center" vertical="center" wrapText="1"/>
    </xf>
    <xf numFmtId="177" fontId="25" fillId="7" borderId="51" xfId="18" applyNumberFormat="1" applyFont="1" applyBorder="1" applyAlignment="1">
      <alignment horizontal="center" vertical="center" readingOrder="2"/>
    </xf>
    <xf numFmtId="177" fontId="16" fillId="2" borderId="51" xfId="8" applyNumberFormat="1" applyBorder="1" applyAlignment="1">
      <alignment horizontal="center" vertical="center" wrapText="1"/>
    </xf>
    <xf numFmtId="177" fontId="16" fillId="7" borderId="51" xfId="18" applyNumberFormat="1" applyBorder="1" applyAlignment="1">
      <alignment horizontal="center" vertical="center" readingOrder="2"/>
    </xf>
    <xf numFmtId="177" fontId="16" fillId="7" borderId="63" xfId="18" applyNumberFormat="1" applyBorder="1" applyAlignment="1">
      <alignment horizontal="center" vertical="center" readingOrder="2"/>
    </xf>
    <xf numFmtId="177" fontId="25" fillId="2" borderId="63" xfId="8" applyNumberFormat="1" applyFont="1" applyBorder="1" applyAlignment="1">
      <alignment horizontal="center" vertical="center" wrapText="1"/>
    </xf>
    <xf numFmtId="177" fontId="17" fillId="13" borderId="63" xfId="8" applyNumberFormat="1" applyFont="1" applyFill="1" applyBorder="1" applyAlignment="1">
      <alignment horizontal="right" vertical="center"/>
    </xf>
    <xf numFmtId="177" fontId="4" fillId="8" borderId="15" xfId="27" applyNumberFormat="1" applyFill="1" applyBorder="1" applyAlignment="1">
      <alignment horizontal="center" vertical="center"/>
    </xf>
    <xf numFmtId="177" fontId="25" fillId="2" borderId="71" xfId="8" applyNumberFormat="1" applyFont="1" applyBorder="1" applyAlignment="1">
      <alignment horizontal="center" vertical="center" wrapText="1"/>
    </xf>
    <xf numFmtId="177" fontId="25" fillId="8" borderId="15" xfId="27" applyNumberFormat="1" applyFont="1" applyFill="1" applyBorder="1" applyAlignment="1">
      <alignment horizontal="center" vertical="center" shrinkToFit="1"/>
    </xf>
    <xf numFmtId="177" fontId="25" fillId="2" borderId="48" xfId="8" applyNumberFormat="1" applyFont="1" applyBorder="1" applyAlignment="1">
      <alignment horizontal="center" vertical="center" wrapText="1"/>
    </xf>
    <xf numFmtId="177" fontId="25" fillId="8" borderId="5" xfId="19" applyNumberFormat="1" applyFont="1" applyAlignment="1">
      <alignment horizontal="center" vertical="center" wrapText="1"/>
      <protection hidden="1"/>
    </xf>
    <xf numFmtId="165" fontId="16" fillId="2" borderId="91" xfId="8" applyBorder="1" applyAlignment="1" applyProtection="1">
      <alignment horizontal="right" vertical="center" wrapText="1"/>
      <protection locked="0"/>
    </xf>
    <xf numFmtId="165" fontId="16" fillId="2" borderId="72" xfId="8" applyBorder="1" applyAlignment="1" applyProtection="1">
      <alignment horizontal="right" vertical="center" wrapText="1"/>
      <protection locked="0"/>
    </xf>
    <xf numFmtId="165" fontId="16" fillId="2" borderId="72" xfId="8" applyBorder="1" applyProtection="1">
      <alignment horizontal="right" vertical="center" wrapText="1"/>
      <protection locked="0"/>
    </xf>
    <xf numFmtId="165" fontId="16" fillId="2" borderId="91" xfId="8" applyFont="1" applyBorder="1" applyProtection="1">
      <alignment horizontal="right" vertical="center" wrapText="1"/>
      <protection locked="0"/>
    </xf>
    <xf numFmtId="165" fontId="16" fillId="2" borderId="72" xfId="8" applyFont="1" applyBorder="1" applyProtection="1">
      <alignment horizontal="right" vertical="center" wrapText="1"/>
      <protection locked="0"/>
    </xf>
    <xf numFmtId="165" fontId="16" fillId="2" borderId="92" xfId="8" applyFont="1" applyBorder="1" applyProtection="1">
      <alignment horizontal="right" vertical="center" wrapText="1"/>
      <protection locked="0"/>
    </xf>
    <xf numFmtId="165" fontId="16" fillId="13" borderId="72" xfId="8" applyFont="1" applyFill="1" applyBorder="1" applyAlignment="1" applyProtection="1">
      <alignment horizontal="right" vertical="center"/>
      <protection locked="0"/>
    </xf>
    <xf numFmtId="165" fontId="4" fillId="2" borderId="65" xfId="27" applyNumberFormat="1" applyFill="1" applyBorder="1" applyAlignment="1">
      <alignment horizontal="center" vertical="center" shrinkToFit="1"/>
    </xf>
    <xf numFmtId="0" fontId="17" fillId="2" borderId="47" xfId="27" applyFont="1" applyFill="1" applyBorder="1" applyAlignment="1">
      <alignment horizontal="right" vertical="center" wrapText="1"/>
    </xf>
    <xf numFmtId="177" fontId="25" fillId="2" borderId="48" xfId="27" applyNumberFormat="1" applyFont="1" applyFill="1" applyBorder="1" applyAlignment="1">
      <alignment horizontal="center" vertical="center" shrinkToFit="1"/>
    </xf>
    <xf numFmtId="0" fontId="16" fillId="2" borderId="48" xfId="27" applyFont="1" applyFill="1" applyBorder="1" applyAlignment="1">
      <alignment horizontal="right" vertical="center" wrapText="1"/>
    </xf>
    <xf numFmtId="0" fontId="16" fillId="2" borderId="72" xfId="27" applyFont="1" applyFill="1" applyBorder="1" applyAlignment="1" applyProtection="1">
      <alignment horizontal="right" vertical="center" wrapText="1"/>
      <protection locked="0"/>
    </xf>
    <xf numFmtId="165" fontId="4" fillId="2" borderId="54" xfId="27" applyNumberFormat="1" applyFill="1" applyBorder="1" applyAlignment="1">
      <alignment horizontal="center" vertical="center" shrinkToFit="1"/>
    </xf>
    <xf numFmtId="0" fontId="17" fillId="2" borderId="50" xfId="27" applyFont="1" applyFill="1" applyBorder="1" applyAlignment="1">
      <alignment horizontal="right" vertical="center" wrapText="1"/>
    </xf>
    <xf numFmtId="177" fontId="25" fillId="2" borderId="51" xfId="27" applyNumberFormat="1" applyFont="1" applyFill="1" applyBorder="1" applyAlignment="1">
      <alignment horizontal="center" vertical="center" shrinkToFit="1"/>
    </xf>
    <xf numFmtId="0" fontId="16" fillId="2" borderId="51" xfId="27" applyFont="1" applyFill="1" applyBorder="1" applyAlignment="1">
      <alignment horizontal="right" vertical="center" wrapText="1"/>
    </xf>
    <xf numFmtId="0" fontId="17" fillId="2" borderId="50" xfId="27" applyFont="1" applyFill="1" applyBorder="1" applyAlignment="1">
      <alignment horizontal="right" vertical="center"/>
    </xf>
    <xf numFmtId="0" fontId="16" fillId="2" borderId="51" xfId="27" applyFont="1" applyFill="1" applyBorder="1" applyAlignment="1">
      <alignment horizontal="right" vertical="center"/>
    </xf>
    <xf numFmtId="0" fontId="16" fillId="2" borderId="72" xfId="27" applyFont="1" applyFill="1" applyBorder="1" applyAlignment="1" applyProtection="1">
      <alignment horizontal="right" vertical="center"/>
      <protection locked="0"/>
    </xf>
    <xf numFmtId="165" fontId="16" fillId="2" borderId="93" xfId="8" applyFont="1" applyBorder="1" applyProtection="1">
      <alignment horizontal="right" vertical="center" wrapText="1"/>
      <protection locked="0"/>
    </xf>
    <xf numFmtId="165" fontId="16" fillId="2" borderId="94" xfId="8" applyFont="1" applyBorder="1" applyProtection="1">
      <alignment horizontal="right" vertical="center" wrapText="1"/>
      <protection locked="0"/>
    </xf>
    <xf numFmtId="2" fontId="4" fillId="6" borderId="2" xfId="17" applyNumberFormat="1" applyProtection="1">
      <protection locked="0"/>
    </xf>
    <xf numFmtId="178" fontId="4" fillId="6" borderId="2" xfId="17" applyNumberFormat="1" applyProtection="1">
      <protection locked="0"/>
    </xf>
    <xf numFmtId="2" fontId="4" fillId="2" borderId="2" xfId="9" applyNumberFormat="1" applyProtection="1"/>
    <xf numFmtId="178" fontId="4" fillId="2" borderId="2" xfId="9" applyNumberFormat="1" applyProtection="1"/>
    <xf numFmtId="0" fontId="54" fillId="5" borderId="0" xfId="28" applyFont="1" applyProtection="1"/>
    <xf numFmtId="0" fontId="18" fillId="8" borderId="95" xfId="19" applyFont="1" applyBorder="1">
      <alignment horizontal="center" vertical="center" wrapText="1"/>
      <protection hidden="1"/>
    </xf>
    <xf numFmtId="0" fontId="18" fillId="8" borderId="95" xfId="19" applyBorder="1">
      <alignment horizontal="center" vertical="center" wrapText="1"/>
      <protection hidden="1"/>
    </xf>
    <xf numFmtId="0" fontId="27" fillId="5" borderId="21" xfId="28" applyBorder="1"/>
    <xf numFmtId="0" fontId="56" fillId="10" borderId="14" xfId="19" applyFont="1" applyFill="1" applyBorder="1" applyAlignment="1">
      <alignment horizontal="right" vertical="center" wrapText="1"/>
      <protection hidden="1"/>
    </xf>
    <xf numFmtId="0" fontId="27" fillId="10" borderId="15" xfId="28" applyFill="1" applyBorder="1"/>
    <xf numFmtId="179" fontId="55" fillId="10" borderId="15" xfId="28" applyNumberFormat="1" applyFont="1" applyFill="1" applyBorder="1" applyAlignment="1">
      <alignment horizontal="center"/>
    </xf>
    <xf numFmtId="0" fontId="27" fillId="10" borderId="16" xfId="28" applyFill="1" applyBorder="1"/>
    <xf numFmtId="0" fontId="57" fillId="5" borderId="0" xfId="28" applyFont="1" applyAlignment="1">
      <alignment horizontal="center"/>
    </xf>
    <xf numFmtId="49" fontId="0" fillId="6" borderId="2" xfId="17" applyNumberFormat="1" applyFont="1" applyProtection="1">
      <protection locked="0"/>
    </xf>
    <xf numFmtId="0" fontId="59" fillId="0" borderId="0" xfId="27" applyFont="1"/>
    <xf numFmtId="165" fontId="0" fillId="6" borderId="2" xfId="17" applyFont="1">
      <protection locked="0"/>
    </xf>
    <xf numFmtId="0" fontId="22" fillId="5" borderId="0" xfId="15" applyFont="1" applyFill="1" applyAlignment="1" applyProtection="1">
      <alignment horizontal="right" vertical="center"/>
    </xf>
    <xf numFmtId="0" fontId="18" fillId="8" borderId="14" xfId="19" applyBorder="1" applyAlignment="1" applyProtection="1">
      <alignment horizontal="right" vertical="center" wrapText="1"/>
    </xf>
    <xf numFmtId="0" fontId="18" fillId="8" borderId="16" xfId="19" applyBorder="1" applyAlignment="1" applyProtection="1">
      <alignment horizontal="right" vertical="center" wrapText="1"/>
    </xf>
    <xf numFmtId="0" fontId="21" fillId="8" borderId="21" xfId="19" applyFont="1" applyBorder="1" applyAlignment="1" applyProtection="1">
      <alignment horizontal="center" vertical="center" wrapText="1"/>
    </xf>
    <xf numFmtId="0" fontId="4" fillId="0" borderId="21" xfId="27" applyBorder="1" applyAlignment="1" applyProtection="1">
      <alignment horizontal="center" vertical="center" wrapText="1"/>
    </xf>
    <xf numFmtId="0" fontId="4" fillId="0" borderId="23" xfId="27" applyBorder="1" applyAlignment="1" applyProtection="1">
      <alignment horizontal="center" vertical="center" wrapText="1"/>
    </xf>
    <xf numFmtId="0" fontId="4" fillId="0" borderId="19" xfId="27" applyBorder="1" applyAlignment="1" applyProtection="1">
      <alignment horizontal="center" vertical="center" wrapText="1"/>
    </xf>
    <xf numFmtId="0" fontId="4" fillId="0" borderId="20" xfId="27" applyBorder="1" applyAlignment="1" applyProtection="1">
      <alignment horizontal="center" vertical="center" wrapText="1"/>
    </xf>
    <xf numFmtId="0" fontId="16" fillId="7" borderId="0" xfId="18" applyBorder="1">
      <alignment horizontal="right" vertical="center" readingOrder="2"/>
    </xf>
    <xf numFmtId="0" fontId="16" fillId="7" borderId="6" xfId="18" applyBorder="1">
      <alignment horizontal="right" vertical="center" readingOrder="2"/>
    </xf>
    <xf numFmtId="0" fontId="22" fillId="5" borderId="0" xfId="15" applyFont="1" applyFill="1" applyAlignment="1" applyProtection="1">
      <alignment horizontal="right" vertical="center"/>
      <protection hidden="1"/>
    </xf>
    <xf numFmtId="0" fontId="21" fillId="8" borderId="17" xfId="19" applyFont="1" applyBorder="1" applyAlignment="1">
      <alignment horizontal="center" vertical="center" wrapText="1"/>
      <protection hidden="1"/>
    </xf>
    <xf numFmtId="0" fontId="21" fillId="8" borderId="21" xfId="19" applyFont="1" applyBorder="1" applyAlignment="1">
      <alignment horizontal="center" vertical="center" wrapText="1"/>
      <protection hidden="1"/>
    </xf>
    <xf numFmtId="0" fontId="21" fillId="8" borderId="23" xfId="19" applyFont="1" applyBorder="1" applyAlignment="1">
      <alignment horizontal="center" vertical="center" wrapText="1"/>
      <protection hidden="1"/>
    </xf>
    <xf numFmtId="0" fontId="21" fillId="8" borderId="18" xfId="19" applyFont="1" applyBorder="1" applyAlignment="1">
      <alignment horizontal="center" vertical="center" wrapText="1"/>
      <protection hidden="1"/>
    </xf>
    <xf numFmtId="0" fontId="21" fillId="8" borderId="19" xfId="19" applyFont="1" applyBorder="1" applyAlignment="1">
      <alignment horizontal="center" vertical="center" wrapText="1"/>
      <protection hidden="1"/>
    </xf>
    <xf numFmtId="0" fontId="21" fillId="8" borderId="20" xfId="19" applyFont="1" applyBorder="1" applyAlignment="1">
      <alignment horizontal="center" vertical="center" wrapText="1"/>
      <protection hidden="1"/>
    </xf>
    <xf numFmtId="0" fontId="37" fillId="7" borderId="7" xfId="18" applyFont="1" applyBorder="1">
      <alignment horizontal="right" vertical="center" readingOrder="2"/>
    </xf>
    <xf numFmtId="0" fontId="16" fillId="7" borderId="14" xfId="18" applyFont="1" applyBorder="1" applyAlignment="1" applyProtection="1">
      <alignment horizontal="right" vertical="center" readingOrder="2"/>
      <protection locked="0"/>
    </xf>
    <xf numFmtId="0" fontId="4" fillId="0" borderId="15" xfId="27" applyBorder="1" applyAlignment="1">
      <alignment horizontal="right" vertical="center" readingOrder="2"/>
    </xf>
    <xf numFmtId="0" fontId="4" fillId="0" borderId="16" xfId="27" applyBorder="1" applyAlignment="1">
      <alignment horizontal="right" vertical="center" readingOrder="2"/>
    </xf>
    <xf numFmtId="0" fontId="16" fillId="7" borderId="7" xfId="18" applyBorder="1">
      <alignment horizontal="right" vertical="center" readingOrder="2"/>
    </xf>
    <xf numFmtId="0" fontId="16" fillId="7" borderId="14" xfId="18" applyBorder="1" applyAlignment="1" applyProtection="1">
      <alignment horizontal="right" vertical="center" readingOrder="2"/>
      <protection locked="0"/>
    </xf>
    <xf numFmtId="0" fontId="16" fillId="7" borderId="16" xfId="18" applyBorder="1" applyAlignment="1" applyProtection="1">
      <alignment horizontal="right" vertical="center" readingOrder="2"/>
      <protection locked="0"/>
    </xf>
    <xf numFmtId="0" fontId="16" fillId="7" borderId="14" xfId="18" applyBorder="1" applyProtection="1">
      <alignment horizontal="right" vertical="center" readingOrder="2"/>
      <protection locked="0"/>
    </xf>
    <xf numFmtId="0" fontId="16" fillId="7" borderId="15" xfId="18" applyBorder="1" applyProtection="1">
      <alignment horizontal="right" vertical="center" readingOrder="2"/>
      <protection locked="0"/>
    </xf>
    <xf numFmtId="0" fontId="16" fillId="7" borderId="16" xfId="18" applyBorder="1" applyProtection="1">
      <alignment horizontal="right" vertical="center" readingOrder="2"/>
      <protection locked="0"/>
    </xf>
    <xf numFmtId="0" fontId="41" fillId="5" borderId="0" xfId="27" applyFont="1" applyFill="1" applyAlignment="1">
      <alignment horizontal="center" vertical="center"/>
    </xf>
    <xf numFmtId="0" fontId="41" fillId="5" borderId="19" xfId="27" applyFont="1" applyFill="1" applyBorder="1" applyAlignment="1">
      <alignment horizontal="center" vertical="top"/>
    </xf>
    <xf numFmtId="0" fontId="24" fillId="8" borderId="5" xfId="19" applyFont="1">
      <alignment horizontal="center" vertical="center" wrapText="1"/>
      <protection hidden="1"/>
    </xf>
    <xf numFmtId="0" fontId="24" fillId="8" borderId="15" xfId="27" applyFont="1" applyFill="1" applyBorder="1" applyAlignment="1">
      <alignment horizontal="center" vertical="center" wrapText="1"/>
    </xf>
    <xf numFmtId="0" fontId="43" fillId="7" borderId="15" xfId="18" applyFont="1" applyBorder="1" applyAlignment="1">
      <alignment horizontal="center" vertical="center" readingOrder="2"/>
    </xf>
    <xf numFmtId="0" fontId="43" fillId="7" borderId="96" xfId="18" applyFont="1" applyBorder="1" applyAlignment="1">
      <alignment horizontal="center" vertical="center" readingOrder="2"/>
    </xf>
    <xf numFmtId="0" fontId="43" fillId="7" borderId="45" xfId="18" applyFont="1" applyBorder="1" applyAlignment="1">
      <alignment horizontal="center" vertical="center" readingOrder="2"/>
    </xf>
    <xf numFmtId="0" fontId="18" fillId="8" borderId="5" xfId="19">
      <alignment horizontal="center" vertical="center" wrapText="1"/>
      <protection hidden="1"/>
    </xf>
    <xf numFmtId="0" fontId="24" fillId="8" borderId="15" xfId="27" applyFont="1" applyFill="1" applyBorder="1" applyAlignment="1">
      <alignment horizontal="center" vertical="center"/>
    </xf>
    <xf numFmtId="0" fontId="28" fillId="9" borderId="97" xfId="24" applyBorder="1" applyAlignment="1">
      <alignment horizontal="center" vertical="center"/>
      <protection hidden="1"/>
    </xf>
    <xf numFmtId="0" fontId="28" fillId="9" borderId="98" xfId="24" applyBorder="1" applyAlignment="1">
      <alignment horizontal="center" vertical="center"/>
      <protection hidden="1"/>
    </xf>
    <xf numFmtId="0" fontId="28" fillId="9" borderId="99" xfId="24" applyBorder="1" applyAlignment="1">
      <alignment horizontal="center" vertical="center"/>
      <protection hidden="1"/>
    </xf>
    <xf numFmtId="0" fontId="28" fillId="9" borderId="97" xfId="24" applyBorder="1" applyAlignment="1">
      <alignment horizontal="center" vertical="center" readingOrder="2"/>
      <protection hidden="1"/>
    </xf>
    <xf numFmtId="0" fontId="28" fillId="9" borderId="98" xfId="24" applyBorder="1" applyAlignment="1">
      <alignment horizontal="center" vertical="center" readingOrder="2"/>
      <protection hidden="1"/>
    </xf>
    <xf numFmtId="0" fontId="28" fillId="9" borderId="99" xfId="24" applyBorder="1" applyAlignment="1">
      <alignment horizontal="center" vertical="center" readingOrder="2"/>
      <protection hidden="1"/>
    </xf>
    <xf numFmtId="0" fontId="31" fillId="2" borderId="0" xfId="24" applyFont="1" applyFill="1" applyBorder="1" applyAlignment="1">
      <alignment horizontal="center" vertical="center"/>
      <protection hidden="1"/>
    </xf>
    <xf numFmtId="0" fontId="31" fillId="2" borderId="0" xfId="24" applyFont="1" applyFill="1" applyBorder="1" applyAlignment="1" applyProtection="1">
      <alignment horizontal="center" vertical="center"/>
      <protection hidden="1"/>
    </xf>
    <xf numFmtId="0" fontId="28" fillId="9" borderId="97" xfId="24" applyFont="1" applyBorder="1" applyAlignment="1">
      <alignment horizontal="center" vertical="center"/>
      <protection hidden="1"/>
    </xf>
    <xf numFmtId="0" fontId="28" fillId="9" borderId="98" xfId="24" applyFont="1" applyBorder="1" applyAlignment="1">
      <alignment horizontal="center" vertical="center"/>
      <protection hidden="1"/>
    </xf>
    <xf numFmtId="0" fontId="28" fillId="9" borderId="99" xfId="24" applyFont="1" applyBorder="1" applyAlignment="1">
      <alignment horizontal="center" vertical="center"/>
      <protection hidden="1"/>
    </xf>
    <xf numFmtId="0" fontId="31" fillId="2" borderId="0" xfId="24" applyFont="1" applyFill="1" applyBorder="1" applyAlignment="1" applyProtection="1">
      <alignment horizontal="center" vertical="center"/>
    </xf>
    <xf numFmtId="0" fontId="4" fillId="0" borderId="0" xfId="27" applyAlignment="1" applyProtection="1">
      <alignment horizontal="center" vertical="center"/>
    </xf>
    <xf numFmtId="0" fontId="28" fillId="9" borderId="97" xfId="24" applyBorder="1" applyAlignment="1" applyProtection="1">
      <alignment horizontal="center" vertical="center"/>
    </xf>
    <xf numFmtId="0" fontId="28" fillId="9" borderId="98" xfId="24" applyBorder="1" applyAlignment="1" applyProtection="1">
      <alignment horizontal="center" vertical="center"/>
    </xf>
    <xf numFmtId="0" fontId="28" fillId="9" borderId="99" xfId="24" applyBorder="1" applyAlignment="1" applyProtection="1">
      <alignment horizontal="center" vertical="center"/>
    </xf>
    <xf numFmtId="0" fontId="28" fillId="9" borderId="97" xfId="24" applyFont="1" applyBorder="1" applyAlignment="1" applyProtection="1">
      <alignment horizontal="center" vertical="center"/>
    </xf>
    <xf numFmtId="0" fontId="31" fillId="2" borderId="0" xfId="24" applyFont="1" applyFill="1" applyBorder="1" applyProtection="1">
      <alignment horizontal="center" vertical="center"/>
    </xf>
    <xf numFmtId="0" fontId="28" fillId="9" borderId="98" xfId="24" applyFont="1" applyBorder="1" applyAlignment="1" applyProtection="1">
      <alignment horizontal="center" vertical="center"/>
    </xf>
    <xf numFmtId="0" fontId="28" fillId="9" borderId="99" xfId="24" applyFont="1" applyBorder="1" applyAlignment="1" applyProtection="1">
      <alignment horizontal="center" vertical="center"/>
    </xf>
    <xf numFmtId="0" fontId="27" fillId="5" borderId="0" xfId="28" applyProtection="1"/>
    <xf numFmtId="0" fontId="18" fillId="8" borderId="5" xfId="19" applyFont="1" applyProtection="1">
      <alignment horizontal="center" vertical="center" wrapText="1"/>
    </xf>
    <xf numFmtId="0" fontId="18" fillId="8" borderId="5" xfId="19" applyProtection="1">
      <alignment horizontal="center" vertical="center" wrapText="1"/>
    </xf>
    <xf numFmtId="0" fontId="18" fillId="8" borderId="0" xfId="18" applyFont="1" applyFill="1" applyBorder="1" applyAlignment="1" applyProtection="1">
      <alignment horizontal="center" vertical="center" readingOrder="2"/>
    </xf>
    <xf numFmtId="0" fontId="17" fillId="2" borderId="0" xfId="19" applyFont="1" applyFill="1" applyBorder="1" applyProtection="1">
      <alignment horizontal="center" vertical="center" wrapText="1"/>
    </xf>
    <xf numFmtId="0" fontId="16" fillId="5" borderId="0" xfId="26" applyFont="1" applyFill="1" applyAlignment="1" applyProtection="1">
      <alignment horizontal="right" vertical="center" readingOrder="2"/>
      <protection locked="0"/>
    </xf>
    <xf numFmtId="0" fontId="21" fillId="9" borderId="13" xfId="26" applyFont="1" applyFill="1" applyBorder="1" applyAlignment="1" applyProtection="1">
      <alignment horizontal="center" vertical="center" readingOrder="2"/>
    </xf>
    <xf numFmtId="0" fontId="4" fillId="0" borderId="0" xfId="26" applyAlignment="1">
      <alignment vertical="center" readingOrder="2"/>
    </xf>
    <xf numFmtId="0" fontId="21" fillId="9" borderId="0" xfId="26" applyFont="1" applyFill="1" applyBorder="1" applyAlignment="1" applyProtection="1">
      <alignment horizontal="center" vertical="center" readingOrder="2"/>
    </xf>
    <xf numFmtId="0" fontId="19" fillId="5" borderId="0" xfId="26" applyFont="1" applyFill="1" applyAlignment="1" applyProtection="1">
      <alignment horizontal="center" vertical="center" readingOrder="2"/>
    </xf>
    <xf numFmtId="0" fontId="4" fillId="0" borderId="0" xfId="26" applyAlignment="1">
      <alignment horizontal="center"/>
    </xf>
    <xf numFmtId="0" fontId="4" fillId="0" borderId="9" xfId="26" applyBorder="1" applyAlignment="1">
      <alignment horizontal="center"/>
    </xf>
  </cellXfs>
  <cellStyles count="41">
    <cellStyle name="*" xfId="1"/>
    <cellStyle name="**" xfId="2"/>
    <cellStyle name="[1]" xfId="3"/>
    <cellStyle name="[2]" xfId="4"/>
    <cellStyle name="[3]" xfId="5"/>
    <cellStyle name="[4]" xfId="6"/>
    <cellStyle name="[5]" xfId="7"/>
    <cellStyle name="CheckStyle" xfId="8"/>
    <cellStyle name="ComputedField" xfId="9"/>
    <cellStyle name="ComputedFieldPercent" xfId="10"/>
    <cellStyle name="Currency [0] _laroux" xfId="11"/>
    <cellStyle name="GeneralBackground" xfId="12"/>
    <cellStyle name="GrandTotal" xfId="13"/>
    <cellStyle name="Grey" xfId="14"/>
    <cellStyle name="Hyperlink" xfId="15" builtinId="8"/>
    <cellStyle name="Input [yellow]" xfId="16"/>
    <cellStyle name="InputField" xfId="17"/>
    <cellStyle name="insiteTable" xfId="18"/>
    <cellStyle name="insiteTableHeader" xfId="19"/>
    <cellStyle name="insiteTableLeft" xfId="20"/>
    <cellStyle name="insiteTableRight" xfId="21"/>
    <cellStyle name="insiteTableSubTitle" xfId="22"/>
    <cellStyle name="insiteTitleBold" xfId="23"/>
    <cellStyle name="LogoHeader" xfId="24"/>
    <cellStyle name="Normal" xfId="0" builtinId="0"/>
    <cellStyle name="Normal - Style1" xfId="25"/>
    <cellStyle name="Normal_Copy of financialReport" xfId="26"/>
    <cellStyle name="Normal_quarterlyRep" xfId="27"/>
    <cellStyle name="outsiteTable" xfId="28"/>
    <cellStyle name="outsiteTableLeft" xfId="29"/>
    <cellStyle name="Percent [2]" xfId="30"/>
    <cellStyle name="regTotal" xfId="31"/>
    <cellStyle name="SubTotalSum" xfId="32"/>
    <cellStyle name="SubTotalSumPer" xfId="33"/>
    <cellStyle name="כותרת" xfId="34"/>
    <cellStyle name="כותרת באור" xfId="35"/>
    <cellStyle name="כותרת דף" xfId="36"/>
    <cellStyle name="כותרת משנה" xfId="37"/>
    <cellStyle name="סעיף" xfId="38"/>
    <cellStyle name="סעיףראשי" xfId="39"/>
    <cellStyle name="תאריך" xfId="40"/>
  </cellStyles>
  <dxfs count="13">
    <dxf>
      <fill>
        <patternFill>
          <bgColor indexed="39"/>
        </patternFill>
      </fill>
      <border>
        <top style="thin">
          <color indexed="9"/>
        </top>
      </border>
    </dxf>
    <dxf>
      <font>
        <b/>
        <i val="0"/>
        <condense val="0"/>
        <extend val="0"/>
        <color indexed="58"/>
      </font>
      <fill>
        <patternFill>
          <bgColor indexed="34"/>
        </patternFill>
      </fill>
    </dxf>
    <dxf>
      <fill>
        <patternFill patternType="darkUp"/>
      </fill>
    </dxf>
    <dxf>
      <font>
        <b/>
        <i val="0"/>
        <condense val="0"/>
        <extend val="0"/>
      </font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E5D1"/>
      <rgbColor rgb="00EFECFE"/>
      <rgbColor rgb="00D9F1FF"/>
      <rgbColor rgb="00BACBF4"/>
      <rgbColor rgb="00DDE0EA"/>
      <rgbColor rgb="00FEFFCD"/>
      <rgbColor rgb="00DDDDFF"/>
      <rgbColor rgb="00000080"/>
      <rgbColor rgb="00D1FFD1"/>
      <rgbColor rgb="00FFFDBB"/>
      <rgbColor rgb="0000FFFF"/>
      <rgbColor rgb="00FFFFFF"/>
      <rgbColor rgb="00800000"/>
      <rgbColor rgb="00008080"/>
      <rgbColor rgb="00FFD8C5"/>
      <rgbColor rgb="0000CCFF"/>
      <rgbColor rgb="00CCFFFF"/>
      <rgbColor rgb="00FEF4DA"/>
      <rgbColor rgb="00FFFF99"/>
      <rgbColor rgb="0099CCFF"/>
      <rgbColor rgb="00FF99CC"/>
      <rgbColor rgb="00DADDFE"/>
      <rgbColor rgb="00B9C6FD"/>
      <rgbColor rgb="003366FF"/>
      <rgbColor rgb="0033CCCC"/>
      <rgbColor rgb="0099CC00"/>
      <rgbColor rgb="00FFCC00"/>
      <rgbColor rgb="00FDCF7B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4</xdr:col>
      <xdr:colOff>409575</xdr:colOff>
      <xdr:row>2</xdr:row>
      <xdr:rowOff>123825</xdr:rowOff>
    </xdr:to>
    <xdr:pic>
      <xdr:nvPicPr>
        <xdr:cNvPr id="6144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686125" y="85725"/>
          <a:ext cx="2400300" cy="476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1485900</xdr:colOff>
      <xdr:row>2</xdr:row>
      <xdr:rowOff>76200</xdr:rowOff>
    </xdr:to>
    <xdr:pic>
      <xdr:nvPicPr>
        <xdr:cNvPr id="5427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523825" y="114300"/>
          <a:ext cx="2400300" cy="476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95250</xdr:rowOff>
    </xdr:from>
    <xdr:to>
      <xdr:col>2</xdr:col>
      <xdr:colOff>1571625</xdr:colOff>
      <xdr:row>2</xdr:row>
      <xdr:rowOff>57150</xdr:rowOff>
    </xdr:to>
    <xdr:pic>
      <xdr:nvPicPr>
        <xdr:cNvPr id="54274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38100" y="95250"/>
          <a:ext cx="2400300" cy="47625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3</xdr:col>
      <xdr:colOff>619125</xdr:colOff>
      <xdr:row>2</xdr:row>
      <xdr:rowOff>95250</xdr:rowOff>
    </xdr:to>
    <xdr:pic>
      <xdr:nvPicPr>
        <xdr:cNvPr id="5324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561425" y="114300"/>
          <a:ext cx="2400300" cy="47625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5</xdr:col>
      <xdr:colOff>495300</xdr:colOff>
      <xdr:row>2</xdr:row>
      <xdr:rowOff>142875</xdr:rowOff>
    </xdr:to>
    <xdr:pic>
      <xdr:nvPicPr>
        <xdr:cNvPr id="716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038425" y="76200"/>
          <a:ext cx="2390775" cy="466725"/>
        </a:xfrm>
        <a:prstGeom prst="rect">
          <a:avLst/>
        </a:prstGeom>
        <a:noFill/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4</xdr:col>
      <xdr:colOff>0</xdr:colOff>
      <xdr:row>2</xdr:row>
      <xdr:rowOff>123825</xdr:rowOff>
    </xdr:to>
    <xdr:pic>
      <xdr:nvPicPr>
        <xdr:cNvPr id="6041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95400" y="85725"/>
          <a:ext cx="2400300" cy="4762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4</xdr:col>
      <xdr:colOff>9525</xdr:colOff>
      <xdr:row>2</xdr:row>
      <xdr:rowOff>123825</xdr:rowOff>
    </xdr:to>
    <xdr:pic>
      <xdr:nvPicPr>
        <xdr:cNvPr id="52228" name="Picture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600025" y="85725"/>
          <a:ext cx="2400300" cy="476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0</xdr:row>
      <xdr:rowOff>85725</xdr:rowOff>
    </xdr:from>
    <xdr:to>
      <xdr:col>4</xdr:col>
      <xdr:colOff>9525</xdr:colOff>
      <xdr:row>2</xdr:row>
      <xdr:rowOff>123825</xdr:rowOff>
    </xdr:to>
    <xdr:pic>
      <xdr:nvPicPr>
        <xdr:cNvPr id="52230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600025" y="85725"/>
          <a:ext cx="2400300" cy="4762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1790700</xdr:colOff>
      <xdr:row>2</xdr:row>
      <xdr:rowOff>114300</xdr:rowOff>
    </xdr:to>
    <xdr:pic>
      <xdr:nvPicPr>
        <xdr:cNvPr id="50179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104850" y="95250"/>
          <a:ext cx="2400300" cy="4762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1</xdr:col>
      <xdr:colOff>1704975</xdr:colOff>
      <xdr:row>2</xdr:row>
      <xdr:rowOff>66675</xdr:rowOff>
    </xdr:to>
    <xdr:pic>
      <xdr:nvPicPr>
        <xdr:cNvPr id="5120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038550" y="85725"/>
          <a:ext cx="2400300" cy="476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85725</xdr:rowOff>
    </xdr:from>
    <xdr:to>
      <xdr:col>1</xdr:col>
      <xdr:colOff>1704975</xdr:colOff>
      <xdr:row>2</xdr:row>
      <xdr:rowOff>66675</xdr:rowOff>
    </xdr:to>
    <xdr:pic>
      <xdr:nvPicPr>
        <xdr:cNvPr id="5120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038550" y="85725"/>
          <a:ext cx="2400300" cy="4762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1419225</xdr:colOff>
      <xdr:row>2</xdr:row>
      <xdr:rowOff>152400</xdr:rowOff>
    </xdr:to>
    <xdr:pic>
      <xdr:nvPicPr>
        <xdr:cNvPr id="5836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228925" y="123825"/>
          <a:ext cx="2028825" cy="4762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5</xdr:col>
      <xdr:colOff>47625</xdr:colOff>
      <xdr:row>2</xdr:row>
      <xdr:rowOff>47625</xdr:rowOff>
    </xdr:to>
    <xdr:pic>
      <xdr:nvPicPr>
        <xdr:cNvPr id="5734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390225" y="66675"/>
          <a:ext cx="2400300" cy="4762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1704975</xdr:colOff>
      <xdr:row>2</xdr:row>
      <xdr:rowOff>76200</xdr:rowOff>
    </xdr:to>
    <xdr:pic>
      <xdr:nvPicPr>
        <xdr:cNvPr id="5632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05075" y="95250"/>
          <a:ext cx="2400300" cy="4762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0</xdr:colOff>
      <xdr:row>2</xdr:row>
      <xdr:rowOff>66675</xdr:rowOff>
    </xdr:to>
    <xdr:pic>
      <xdr:nvPicPr>
        <xdr:cNvPr id="5529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285825" y="85725"/>
          <a:ext cx="2400300" cy="476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H24"/>
  <sheetViews>
    <sheetView showRowColHeaders="0" rightToLeft="1" workbookViewId="0">
      <selection activeCell="A4" sqref="A4:C4"/>
    </sheetView>
  </sheetViews>
  <sheetFormatPr defaultColWidth="9.140625" defaultRowHeight="12.75" x14ac:dyDescent="0.2"/>
  <cols>
    <col min="1" max="3" width="9.140625" style="107"/>
    <col min="4" max="4" width="3" style="107" customWidth="1"/>
    <col min="5" max="5" width="45.28515625" style="107" customWidth="1"/>
    <col min="6" max="6" width="10.140625" style="107" customWidth="1"/>
    <col min="7" max="16384" width="9.140625" style="107"/>
  </cols>
  <sheetData>
    <row r="1" spans="1:8" ht="17.25" customHeight="1" thickTop="1" thickBot="1" x14ac:dyDescent="0.25">
      <c r="A1" s="106"/>
      <c r="B1" s="106"/>
      <c r="C1" s="106"/>
      <c r="D1" s="106"/>
      <c r="E1" s="106"/>
      <c r="F1" s="106"/>
      <c r="G1" s="106"/>
      <c r="H1" s="106"/>
    </row>
    <row r="2" spans="1:8" ht="17.25" customHeight="1" thickTop="1" thickBot="1" x14ac:dyDescent="0.25">
      <c r="A2" s="106"/>
      <c r="B2" s="106"/>
      <c r="C2" s="106"/>
      <c r="D2" s="106"/>
      <c r="E2" s="106" t="s">
        <v>575</v>
      </c>
      <c r="F2" s="106"/>
      <c r="G2" s="106"/>
      <c r="H2" s="106"/>
    </row>
    <row r="3" spans="1:8" ht="17.25" customHeight="1" thickTop="1" thickBot="1" x14ac:dyDescent="0.25">
      <c r="A3" s="106"/>
      <c r="B3" s="106"/>
      <c r="C3" s="106"/>
      <c r="D3" s="106"/>
      <c r="E3" s="106"/>
      <c r="F3" s="106"/>
      <c r="G3" s="106"/>
      <c r="H3" s="106"/>
    </row>
    <row r="4" spans="1:8" ht="17.25" customHeight="1" thickTop="1" x14ac:dyDescent="0.2">
      <c r="A4" s="590" t="s">
        <v>584</v>
      </c>
      <c r="B4" s="590"/>
      <c r="C4" s="590"/>
      <c r="D4" s="111"/>
      <c r="E4" s="111"/>
      <c r="F4" s="111"/>
      <c r="G4" s="111"/>
      <c r="H4" s="112"/>
    </row>
    <row r="5" spans="1:8" x14ac:dyDescent="0.2">
      <c r="A5" s="111">
        <v>0</v>
      </c>
      <c r="B5" s="111"/>
      <c r="C5" s="111"/>
      <c r="D5" s="111"/>
      <c r="E5" s="111"/>
      <c r="F5" s="111"/>
      <c r="G5" s="111"/>
      <c r="H5" s="112"/>
    </row>
    <row r="6" spans="1:8" ht="18" customHeight="1" x14ac:dyDescent="0.2">
      <c r="A6" s="111"/>
      <c r="B6" s="113"/>
      <c r="C6" s="432" t="s">
        <v>576</v>
      </c>
      <c r="D6" s="113"/>
      <c r="E6" s="433" t="s">
        <v>577</v>
      </c>
      <c r="F6" s="591" t="s">
        <v>578</v>
      </c>
      <c r="G6" s="592"/>
      <c r="H6" s="112"/>
    </row>
    <row r="7" spans="1:8" x14ac:dyDescent="0.2">
      <c r="A7" s="111"/>
      <c r="B7" s="115"/>
      <c r="C7" s="116"/>
      <c r="D7" s="434"/>
      <c r="E7" s="434"/>
      <c r="F7" s="434"/>
      <c r="G7" s="435"/>
      <c r="H7" s="112"/>
    </row>
    <row r="8" spans="1:8" ht="12.75" customHeight="1" x14ac:dyDescent="0.2">
      <c r="A8" s="111"/>
      <c r="B8" s="115"/>
      <c r="C8" s="119"/>
      <c r="D8" s="436"/>
      <c r="E8" s="437" t="s">
        <v>580</v>
      </c>
      <c r="F8" s="436" t="s">
        <v>581</v>
      </c>
      <c r="G8" s="438"/>
      <c r="H8" s="112"/>
    </row>
    <row r="9" spans="1:8" ht="4.5" customHeight="1" x14ac:dyDescent="0.2">
      <c r="A9" s="111"/>
      <c r="B9" s="115"/>
      <c r="C9" s="116"/>
      <c r="D9" s="116"/>
      <c r="E9" s="116"/>
      <c r="F9" s="436"/>
      <c r="G9" s="438"/>
      <c r="H9" s="112"/>
    </row>
    <row r="10" spans="1:8" x14ac:dyDescent="0.2">
      <c r="A10" s="111"/>
      <c r="B10" s="115"/>
      <c r="C10" s="439"/>
      <c r="D10" s="436"/>
      <c r="E10" s="437" t="s">
        <v>554</v>
      </c>
      <c r="F10" s="436" t="s">
        <v>579</v>
      </c>
      <c r="G10" s="438"/>
      <c r="H10" s="112"/>
    </row>
    <row r="11" spans="1:8" ht="4.5" customHeight="1" x14ac:dyDescent="0.2">
      <c r="A11" s="111"/>
      <c r="B11" s="115"/>
      <c r="C11" s="116"/>
      <c r="D11" s="116"/>
      <c r="E11" s="116"/>
      <c r="F11" s="436"/>
      <c r="G11" s="438"/>
      <c r="H11" s="112"/>
    </row>
    <row r="12" spans="1:8" x14ac:dyDescent="0.2">
      <c r="A12" s="111"/>
      <c r="B12" s="115"/>
      <c r="C12" s="68"/>
      <c r="D12" s="436"/>
      <c r="E12" s="437" t="s">
        <v>555</v>
      </c>
      <c r="F12" s="436" t="s">
        <v>579</v>
      </c>
      <c r="G12" s="438"/>
      <c r="H12" s="112"/>
    </row>
    <row r="13" spans="1:8" ht="4.5" customHeight="1" x14ac:dyDescent="0.2">
      <c r="A13" s="111"/>
      <c r="B13" s="115"/>
      <c r="C13" s="116"/>
      <c r="D13" s="116"/>
      <c r="E13" s="116"/>
      <c r="F13" s="436"/>
      <c r="G13" s="438"/>
      <c r="H13" s="112"/>
    </row>
    <row r="14" spans="1:8" ht="12.95" customHeight="1" x14ac:dyDescent="0.2">
      <c r="A14" s="111"/>
      <c r="B14" s="115"/>
      <c r="C14" s="440"/>
      <c r="D14" s="436"/>
      <c r="E14" s="437" t="s">
        <v>556</v>
      </c>
      <c r="F14" s="437" t="s">
        <v>579</v>
      </c>
      <c r="G14" s="438"/>
      <c r="H14" s="112"/>
    </row>
    <row r="15" spans="1:8" ht="4.5" customHeight="1" x14ac:dyDescent="0.2">
      <c r="A15" s="111"/>
      <c r="B15" s="115"/>
      <c r="C15" s="116"/>
      <c r="D15" s="436"/>
      <c r="E15" s="436"/>
      <c r="F15" s="436"/>
      <c r="G15" s="438"/>
      <c r="H15" s="112"/>
    </row>
    <row r="16" spans="1:8" ht="13.5" thickBot="1" x14ac:dyDescent="0.25">
      <c r="A16" s="111"/>
      <c r="B16" s="115"/>
      <c r="C16" s="125"/>
      <c r="D16" s="436"/>
      <c r="E16" s="437" t="s">
        <v>557</v>
      </c>
      <c r="F16" s="437" t="s">
        <v>579</v>
      </c>
      <c r="G16" s="438"/>
      <c r="H16" s="112"/>
    </row>
    <row r="17" spans="1:8" ht="6" customHeight="1" thickTop="1" x14ac:dyDescent="0.2">
      <c r="A17" s="111"/>
      <c r="B17" s="115"/>
      <c r="C17" s="116"/>
      <c r="D17" s="436"/>
      <c r="E17" s="436"/>
      <c r="F17" s="436"/>
      <c r="G17" s="438"/>
      <c r="H17" s="112"/>
    </row>
    <row r="18" spans="1:8" x14ac:dyDescent="0.2">
      <c r="A18" s="111"/>
      <c r="B18" s="115"/>
      <c r="C18" s="116"/>
      <c r="D18" s="436"/>
      <c r="E18" s="436"/>
      <c r="F18" s="436"/>
      <c r="G18" s="438"/>
      <c r="H18" s="112"/>
    </row>
    <row r="19" spans="1:8" x14ac:dyDescent="0.2">
      <c r="A19" s="111"/>
      <c r="B19" s="126"/>
      <c r="C19" s="127"/>
      <c r="D19" s="127"/>
      <c r="E19" s="127"/>
      <c r="F19" s="127"/>
      <c r="G19" s="441"/>
      <c r="H19" s="112"/>
    </row>
    <row r="20" spans="1:8" ht="21.75" customHeight="1" thickBot="1" x14ac:dyDescent="0.25">
      <c r="A20" s="128"/>
      <c r="B20" s="128"/>
      <c r="C20" s="128"/>
      <c r="D20" s="128"/>
      <c r="E20" s="128"/>
      <c r="F20" s="128"/>
      <c r="G20" s="128"/>
      <c r="H20" s="129"/>
    </row>
    <row r="21" spans="1:8" ht="13.5" thickTop="1" x14ac:dyDescent="0.2"/>
    <row r="24" spans="1:8" x14ac:dyDescent="0.2">
      <c r="A24" s="442"/>
      <c r="B24" s="442"/>
    </row>
  </sheetData>
  <sheetProtection password="83C1" sheet="1" objects="1" scenarios="1"/>
  <mergeCells count="2">
    <mergeCell ref="A4:C4"/>
    <mergeCell ref="F6:G6"/>
  </mergeCells>
  <phoneticPr fontId="58" type="noConversion"/>
  <dataValidations count="2">
    <dataValidation type="list" allowBlank="1" showInputMessage="1" showErrorMessage="1" sqref="D16">
      <formula1>"עיריה, מועצה מקומית, מועצה אזורית"</formula1>
    </dataValidation>
    <dataValidation type="list" showInputMessage="1" showErrorMessage="1" errorTitle="יישום הדוח הרבעוני" error="יש לבחור באחד הרכים שברשימה" sqref="F18">
      <formula1>"כן, לא"</formula1>
    </dataValidation>
  </dataValidations>
  <hyperlinks>
    <hyperlink ref="A4" location="'תוכן הענינים'!A1" tooltip="לחץ להצגת גליון תוכן הענינים" display="הצג תוכן ענינים"/>
  </hyperlink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/>
  <dimension ref="A1:Q326"/>
  <sheetViews>
    <sheetView showRowColHeaders="0" showZeros="0" rightToLeft="1" zoomScale="90" workbookViewId="0">
      <selection activeCell="A4" sqref="A4"/>
    </sheetView>
  </sheetViews>
  <sheetFormatPr defaultColWidth="9.140625" defaultRowHeight="12.75" x14ac:dyDescent="0.2"/>
  <cols>
    <col min="1" max="1" width="13" style="107" customWidth="1"/>
    <col min="2" max="2" width="30.28515625" style="107" customWidth="1"/>
    <col min="3" max="3" width="10" style="107" customWidth="1"/>
    <col min="4" max="4" width="2.7109375" style="107" customWidth="1"/>
    <col min="5" max="5" width="12.85546875" style="107" customWidth="1"/>
    <col min="6" max="6" width="2.7109375" style="107" customWidth="1"/>
    <col min="7" max="7" width="12.85546875" style="107" customWidth="1"/>
    <col min="8" max="8" width="2.7109375" style="107" customWidth="1"/>
    <col min="9" max="9" width="12.85546875" style="107" customWidth="1"/>
    <col min="10" max="10" width="2.7109375" style="107" customWidth="1"/>
    <col min="11" max="11" width="12.85546875" style="107" customWidth="1"/>
    <col min="12" max="12" width="2.7109375" style="107" customWidth="1"/>
    <col min="13" max="13" width="8.140625" style="107" customWidth="1"/>
    <col min="14" max="14" width="2.7109375" style="107" customWidth="1"/>
    <col min="15" max="15" width="14.140625" style="107" customWidth="1"/>
    <col min="16" max="16" width="4.7109375" style="107" customWidth="1"/>
    <col min="17" max="16384" width="9.140625" style="107"/>
  </cols>
  <sheetData>
    <row r="1" spans="1:17" ht="19.5" thickTop="1" thickBot="1" x14ac:dyDescent="0.25">
      <c r="A1" s="106"/>
      <c r="B1" s="106"/>
      <c r="C1" s="639" t="str">
        <f>GufMevukar</f>
        <v>מ"א עמק הירדן</v>
      </c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1"/>
      <c r="Q1" s="106"/>
    </row>
    <row r="2" spans="1:17" ht="19.5" thickTop="1" thickBot="1" x14ac:dyDescent="0.25">
      <c r="A2" s="106"/>
      <c r="B2" s="106"/>
      <c r="C2" s="642" t="s">
        <v>859</v>
      </c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1"/>
      <c r="Q2" s="106"/>
    </row>
    <row r="3" spans="1:17" ht="19.5" thickTop="1" thickBot="1" x14ac:dyDescent="0.25">
      <c r="A3" s="106"/>
      <c r="B3" s="106"/>
      <c r="C3" s="639" t="str">
        <f>ReportPeriod</f>
        <v>לתקופה: רבעון 1, שנת 2017</v>
      </c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1"/>
      <c r="Q3" s="106"/>
    </row>
    <row r="4" spans="1:17" ht="23.25" customHeight="1" thickTop="1" x14ac:dyDescent="0.2">
      <c r="A4" s="110" t="s">
        <v>584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2"/>
    </row>
    <row r="5" spans="1:17" ht="36" customHeight="1" x14ac:dyDescent="0.2">
      <c r="A5" s="111"/>
      <c r="B5" s="113" t="s">
        <v>748</v>
      </c>
      <c r="C5" s="114" t="s">
        <v>567</v>
      </c>
      <c r="D5" s="113"/>
      <c r="E5" s="114" t="s">
        <v>563</v>
      </c>
      <c r="F5" s="113"/>
      <c r="G5" s="114" t="s">
        <v>564</v>
      </c>
      <c r="H5" s="113"/>
      <c r="I5" s="114" t="s">
        <v>565</v>
      </c>
      <c r="J5" s="113"/>
      <c r="K5" s="114" t="s">
        <v>566</v>
      </c>
      <c r="L5" s="113"/>
      <c r="M5" s="113" t="s">
        <v>754</v>
      </c>
      <c r="N5" s="113"/>
      <c r="O5" s="114" t="s">
        <v>860</v>
      </c>
      <c r="P5" s="113"/>
      <c r="Q5" s="112"/>
    </row>
    <row r="6" spans="1:17" x14ac:dyDescent="0.2">
      <c r="A6" s="111"/>
      <c r="B6" s="115" t="s">
        <v>756</v>
      </c>
      <c r="C6" s="119">
        <v>664604.11</v>
      </c>
      <c r="D6" s="116"/>
      <c r="E6" s="574">
        <v>117.93</v>
      </c>
      <c r="F6" s="116"/>
      <c r="G6" s="574">
        <v>34.03</v>
      </c>
      <c r="H6" s="116"/>
      <c r="I6" s="576">
        <f t="shared" ref="I6:I18" si="0">IF(C6=0,0,O6*1000/C6)</f>
        <v>33.692238225851476</v>
      </c>
      <c r="J6" s="116"/>
      <c r="K6" s="574">
        <v>33</v>
      </c>
      <c r="L6" s="116"/>
      <c r="M6" s="121">
        <f t="shared" ref="M6:M18" si="1">IF(K6=0,0,(I6-K6)/K6)</f>
        <v>2.0976915934893207E-2</v>
      </c>
      <c r="N6" s="116"/>
      <c r="O6" s="119">
        <v>22392</v>
      </c>
      <c r="P6" s="117"/>
      <c r="Q6" s="112"/>
    </row>
    <row r="7" spans="1:17" x14ac:dyDescent="0.2">
      <c r="A7" s="111"/>
      <c r="B7" s="115" t="s">
        <v>757</v>
      </c>
      <c r="C7" s="119">
        <v>159316.84</v>
      </c>
      <c r="D7" s="116"/>
      <c r="E7" s="574">
        <v>377.83</v>
      </c>
      <c r="F7" s="116"/>
      <c r="G7" s="574">
        <v>66.819999999999993</v>
      </c>
      <c r="H7" s="116"/>
      <c r="I7" s="576">
        <f t="shared" si="0"/>
        <v>72.672794665020973</v>
      </c>
      <c r="J7" s="116"/>
      <c r="K7" s="574">
        <v>73</v>
      </c>
      <c r="L7" s="116"/>
      <c r="M7" s="121">
        <f t="shared" si="1"/>
        <v>-4.4822648627263961E-3</v>
      </c>
      <c r="N7" s="116"/>
      <c r="O7" s="119">
        <v>11578</v>
      </c>
      <c r="P7" s="117"/>
      <c r="Q7" s="112"/>
    </row>
    <row r="8" spans="1:17" x14ac:dyDescent="0.2">
      <c r="A8" s="111"/>
      <c r="B8" s="115" t="s">
        <v>758</v>
      </c>
      <c r="C8" s="178">
        <v>60.68</v>
      </c>
      <c r="D8" s="116"/>
      <c r="E8" s="574">
        <v>1360.76</v>
      </c>
      <c r="F8" s="116"/>
      <c r="G8" s="574">
        <v>454.4</v>
      </c>
      <c r="H8" s="116"/>
      <c r="I8" s="576">
        <f t="shared" si="0"/>
        <v>692.15557020435074</v>
      </c>
      <c r="J8" s="116"/>
      <c r="K8" s="574"/>
      <c r="L8" s="116"/>
      <c r="M8" s="121">
        <f t="shared" si="1"/>
        <v>0</v>
      </c>
      <c r="N8" s="116"/>
      <c r="O8" s="119">
        <v>42</v>
      </c>
      <c r="P8" s="117"/>
      <c r="Q8" s="112"/>
    </row>
    <row r="9" spans="1:17" x14ac:dyDescent="0.2">
      <c r="A9" s="111"/>
      <c r="B9" s="115" t="s">
        <v>759</v>
      </c>
      <c r="C9" s="119">
        <v>167471.71</v>
      </c>
      <c r="D9" s="116"/>
      <c r="E9" s="574">
        <v>162.83000000000001</v>
      </c>
      <c r="F9" s="116"/>
      <c r="G9" s="574">
        <v>24.36</v>
      </c>
      <c r="H9" s="116"/>
      <c r="I9" s="576">
        <f t="shared" si="0"/>
        <v>39.881362649249837</v>
      </c>
      <c r="J9" s="116"/>
      <c r="K9" s="574">
        <v>39</v>
      </c>
      <c r="L9" s="116"/>
      <c r="M9" s="121">
        <f t="shared" si="1"/>
        <v>2.2599042288457365E-2</v>
      </c>
      <c r="N9" s="116"/>
      <c r="O9" s="119">
        <v>6679</v>
      </c>
      <c r="P9" s="117"/>
      <c r="Q9" s="112"/>
    </row>
    <row r="10" spans="1:17" x14ac:dyDescent="0.2">
      <c r="A10" s="111"/>
      <c r="B10" s="115" t="s">
        <v>760</v>
      </c>
      <c r="C10" s="178">
        <v>88883.33</v>
      </c>
      <c r="D10" s="116"/>
      <c r="E10" s="574">
        <v>142.97999999999999</v>
      </c>
      <c r="F10" s="116"/>
      <c r="G10" s="574">
        <v>37.61</v>
      </c>
      <c r="H10" s="116"/>
      <c r="I10" s="576">
        <f t="shared" si="0"/>
        <v>62.880182369404928</v>
      </c>
      <c r="J10" s="116"/>
      <c r="K10" s="574">
        <v>62</v>
      </c>
      <c r="L10" s="116"/>
      <c r="M10" s="121">
        <f t="shared" si="1"/>
        <v>1.4196489829111736E-2</v>
      </c>
      <c r="N10" s="116"/>
      <c r="O10" s="119">
        <v>5589</v>
      </c>
      <c r="P10" s="117"/>
      <c r="Q10" s="112"/>
    </row>
    <row r="11" spans="1:17" x14ac:dyDescent="0.2">
      <c r="A11" s="111"/>
      <c r="B11" s="115" t="s">
        <v>761</v>
      </c>
      <c r="C11" s="119">
        <v>38482.35</v>
      </c>
      <c r="D11" s="116"/>
      <c r="E11" s="574">
        <v>219.69</v>
      </c>
      <c r="F11" s="116"/>
      <c r="G11" s="574">
        <v>45.11</v>
      </c>
      <c r="H11" s="116"/>
      <c r="I11" s="576">
        <f t="shared" si="0"/>
        <v>57.324981452536036</v>
      </c>
      <c r="J11" s="116"/>
      <c r="K11" s="574">
        <v>56</v>
      </c>
      <c r="L11" s="116"/>
      <c r="M11" s="121">
        <f t="shared" si="1"/>
        <v>2.3660383081000651E-2</v>
      </c>
      <c r="N11" s="116"/>
      <c r="O11" s="119">
        <v>2206</v>
      </c>
      <c r="P11" s="117"/>
      <c r="Q11" s="112"/>
    </row>
    <row r="12" spans="1:17" x14ac:dyDescent="0.2">
      <c r="A12" s="111"/>
      <c r="B12" s="118" t="s">
        <v>568</v>
      </c>
      <c r="C12" s="119">
        <v>50016.57</v>
      </c>
      <c r="D12" s="116"/>
      <c r="E12" s="575">
        <f>0.66*1000</f>
        <v>660</v>
      </c>
      <c r="F12" s="116"/>
      <c r="G12" s="575">
        <f>0.009451*1000</f>
        <v>9.4509999999999987</v>
      </c>
      <c r="H12" s="116"/>
      <c r="I12" s="577">
        <f t="shared" si="0"/>
        <v>39.686847778646154</v>
      </c>
      <c r="J12" s="116"/>
      <c r="K12" s="575">
        <v>43</v>
      </c>
      <c r="L12" s="116"/>
      <c r="M12" s="121">
        <f t="shared" si="1"/>
        <v>-7.7050051659391772E-2</v>
      </c>
      <c r="N12" s="116"/>
      <c r="O12" s="119">
        <v>1985</v>
      </c>
      <c r="P12" s="117"/>
      <c r="Q12" s="112"/>
    </row>
    <row r="13" spans="1:17" x14ac:dyDescent="0.2">
      <c r="A13" s="111"/>
      <c r="B13" s="118" t="s">
        <v>569</v>
      </c>
      <c r="C13" s="119">
        <f>1647255.08/1000</f>
        <v>1647.2550800000001</v>
      </c>
      <c r="D13" s="116"/>
      <c r="E13" s="575">
        <f>54.81*1000</f>
        <v>54810</v>
      </c>
      <c r="F13" s="116"/>
      <c r="G13" s="575">
        <f>0.010758*1000</f>
        <v>10.758000000000001</v>
      </c>
      <c r="H13" s="116"/>
      <c r="I13" s="577">
        <f t="shared" si="0"/>
        <v>1990.5842390845744</v>
      </c>
      <c r="J13" s="116"/>
      <c r="K13" s="575">
        <v>1959</v>
      </c>
      <c r="L13" s="116"/>
      <c r="M13" s="121">
        <f t="shared" si="1"/>
        <v>1.6122633529644916E-2</v>
      </c>
      <c r="N13" s="116"/>
      <c r="O13" s="119">
        <v>3279</v>
      </c>
      <c r="P13" s="117"/>
      <c r="Q13" s="112"/>
    </row>
    <row r="14" spans="1:17" x14ac:dyDescent="0.2">
      <c r="A14" s="111"/>
      <c r="B14" s="118" t="s">
        <v>570</v>
      </c>
      <c r="C14" s="119"/>
      <c r="D14" s="116"/>
      <c r="E14" s="575"/>
      <c r="F14" s="116"/>
      <c r="G14" s="575"/>
      <c r="H14" s="116"/>
      <c r="I14" s="577">
        <f t="shared" si="0"/>
        <v>0</v>
      </c>
      <c r="J14" s="116"/>
      <c r="K14" s="575"/>
      <c r="L14" s="116"/>
      <c r="M14" s="121">
        <f t="shared" si="1"/>
        <v>0</v>
      </c>
      <c r="N14" s="116"/>
      <c r="O14" s="119"/>
      <c r="P14" s="117"/>
      <c r="Q14" s="112"/>
    </row>
    <row r="15" spans="1:17" x14ac:dyDescent="0.2">
      <c r="A15" s="111"/>
      <c r="B15" s="115" t="s">
        <v>762</v>
      </c>
      <c r="C15" s="119">
        <v>8116.5</v>
      </c>
      <c r="D15" s="116"/>
      <c r="E15" s="574">
        <v>65.87</v>
      </c>
      <c r="F15" s="116"/>
      <c r="G15" s="574">
        <v>1.39</v>
      </c>
      <c r="H15" s="116"/>
      <c r="I15" s="576">
        <f t="shared" si="0"/>
        <v>1.1088523378303456</v>
      </c>
      <c r="J15" s="116"/>
      <c r="K15" s="574">
        <v>1</v>
      </c>
      <c r="L15" s="116"/>
      <c r="M15" s="121">
        <f t="shared" si="1"/>
        <v>0.10885233783034565</v>
      </c>
      <c r="N15" s="116"/>
      <c r="O15" s="119">
        <v>9</v>
      </c>
      <c r="P15" s="117"/>
      <c r="Q15" s="112"/>
    </row>
    <row r="16" spans="1:17" x14ac:dyDescent="0.2">
      <c r="A16" s="111"/>
      <c r="B16" s="115" t="s">
        <v>763</v>
      </c>
      <c r="C16" s="119">
        <v>313260.92</v>
      </c>
      <c r="D16" s="116"/>
      <c r="E16" s="574">
        <v>44.93</v>
      </c>
      <c r="F16" s="116"/>
      <c r="G16" s="574">
        <v>0.34300000000000003</v>
      </c>
      <c r="H16" s="116"/>
      <c r="I16" s="576">
        <f t="shared" si="0"/>
        <v>0.33837607321079183</v>
      </c>
      <c r="J16" s="116"/>
      <c r="K16" s="574">
        <v>0.32</v>
      </c>
      <c r="L16" s="116"/>
      <c r="M16" s="121">
        <f t="shared" si="1"/>
        <v>5.7425228783724441E-2</v>
      </c>
      <c r="N16" s="116"/>
      <c r="O16" s="119">
        <v>106</v>
      </c>
      <c r="P16" s="117"/>
      <c r="Q16" s="112"/>
    </row>
    <row r="17" spans="1:17" x14ac:dyDescent="0.2">
      <c r="A17" s="111"/>
      <c r="B17" s="115" t="s">
        <v>764</v>
      </c>
      <c r="C17" s="119"/>
      <c r="D17" s="116"/>
      <c r="E17" s="574"/>
      <c r="F17" s="116"/>
      <c r="G17" s="574"/>
      <c r="H17" s="116"/>
      <c r="I17" s="576">
        <f t="shared" si="0"/>
        <v>0</v>
      </c>
      <c r="J17" s="116"/>
      <c r="K17" s="574"/>
      <c r="L17" s="116"/>
      <c r="M17" s="121">
        <f t="shared" si="1"/>
        <v>0</v>
      </c>
      <c r="N17" s="116"/>
      <c r="O17" s="119"/>
      <c r="P17" s="117"/>
      <c r="Q17" s="112"/>
    </row>
    <row r="18" spans="1:17" x14ac:dyDescent="0.2">
      <c r="A18" s="111"/>
      <c r="B18" s="115" t="s">
        <v>765</v>
      </c>
      <c r="C18" s="119">
        <v>785.92</v>
      </c>
      <c r="D18" s="116"/>
      <c r="E18" s="574"/>
      <c r="F18" s="116"/>
      <c r="G18" s="574"/>
      <c r="H18" s="116"/>
      <c r="I18" s="576">
        <f t="shared" si="0"/>
        <v>66.164495114006513</v>
      </c>
      <c r="J18" s="116"/>
      <c r="K18" s="574">
        <v>14</v>
      </c>
      <c r="L18" s="116"/>
      <c r="M18" s="121">
        <f t="shared" si="1"/>
        <v>3.7260353652861795</v>
      </c>
      <c r="N18" s="116"/>
      <c r="O18" s="119">
        <v>52</v>
      </c>
      <c r="P18" s="117"/>
      <c r="Q18" s="112"/>
    </row>
    <row r="19" spans="1:17" ht="13.5" thickBot="1" x14ac:dyDescent="0.25">
      <c r="A19" s="111"/>
      <c r="B19" s="115" t="s">
        <v>766</v>
      </c>
      <c r="C19" s="125">
        <f>SUM(C6:C18)</f>
        <v>1492646.18508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25">
        <f>SUM(O6:O18)</f>
        <v>53917</v>
      </c>
      <c r="P19" s="117"/>
      <c r="Q19" s="112"/>
    </row>
    <row r="20" spans="1:17" ht="6.75" customHeight="1" thickTop="1" x14ac:dyDescent="0.2">
      <c r="A20" s="111"/>
      <c r="B20" s="115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7"/>
      <c r="Q20" s="112"/>
    </row>
    <row r="21" spans="1:17" ht="36" customHeight="1" x14ac:dyDescent="0.2">
      <c r="A21" s="111"/>
      <c r="B21" s="113" t="s">
        <v>767</v>
      </c>
      <c r="C21" s="113" t="s">
        <v>749</v>
      </c>
      <c r="D21" s="113"/>
      <c r="E21" s="113" t="s">
        <v>750</v>
      </c>
      <c r="F21" s="113"/>
      <c r="G21" s="113" t="s">
        <v>751</v>
      </c>
      <c r="H21" s="113"/>
      <c r="I21" s="114" t="s">
        <v>752</v>
      </c>
      <c r="J21" s="113"/>
      <c r="K21" s="113" t="s">
        <v>753</v>
      </c>
      <c r="L21" s="113"/>
      <c r="M21" s="114" t="s">
        <v>768</v>
      </c>
      <c r="N21" s="113"/>
      <c r="O21" s="113" t="s">
        <v>755</v>
      </c>
      <c r="P21" s="113"/>
      <c r="Q21" s="112"/>
    </row>
    <row r="22" spans="1:17" ht="33.75" customHeight="1" x14ac:dyDescent="0.2">
      <c r="A22" s="111"/>
      <c r="B22" s="206" t="s">
        <v>769</v>
      </c>
      <c r="C22" s="119"/>
      <c r="D22" s="116"/>
      <c r="E22" s="574"/>
      <c r="F22" s="116"/>
      <c r="G22" s="574"/>
      <c r="H22" s="116"/>
      <c r="I22" s="576">
        <f>IF(C22=0,0,O22*1000/C22)</f>
        <v>0</v>
      </c>
      <c r="J22" s="116"/>
      <c r="K22" s="574"/>
      <c r="L22" s="116"/>
      <c r="M22" s="121">
        <f>IF(K22=0,0,(I22-K22)/K22)</f>
        <v>0</v>
      </c>
      <c r="N22" s="116"/>
      <c r="O22" s="119"/>
      <c r="P22" s="117"/>
      <c r="Q22" s="112"/>
    </row>
    <row r="23" spans="1:17" x14ac:dyDescent="0.2">
      <c r="A23" s="111"/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7"/>
      <c r="Q23" s="112"/>
    </row>
    <row r="24" spans="1:17" x14ac:dyDescent="0.2">
      <c r="A24" s="111"/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80"/>
      <c r="Q24" s="112"/>
    </row>
    <row r="25" spans="1:17" x14ac:dyDescent="0.2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2"/>
    </row>
    <row r="26" spans="1:17" ht="13.5" thickBot="1" x14ac:dyDescent="0.25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9"/>
    </row>
    <row r="27" spans="1:17" ht="13.5" thickTop="1" x14ac:dyDescent="0.2"/>
    <row r="300" spans="2:16" ht="18" x14ac:dyDescent="0.2">
      <c r="B300" s="207"/>
      <c r="C300" s="637" t="str">
        <f t="shared" ref="C300:N315" si="2">C1</f>
        <v>מ"א עמק הירדן</v>
      </c>
      <c r="D300" s="638"/>
      <c r="E300" s="638"/>
      <c r="F300" s="638"/>
      <c r="G300" s="638"/>
      <c r="H300" s="638"/>
      <c r="I300" s="638"/>
      <c r="J300" s="638"/>
      <c r="K300" s="638"/>
      <c r="L300" s="638"/>
      <c r="M300" s="638"/>
      <c r="N300" s="638"/>
      <c r="O300" s="130">
        <f t="shared" ref="O300:P315" si="3">O1</f>
        <v>0</v>
      </c>
      <c r="P300" s="130">
        <f t="shared" si="3"/>
        <v>0</v>
      </c>
    </row>
    <row r="301" spans="2:16" ht="18" x14ac:dyDescent="0.2">
      <c r="B301" s="207"/>
      <c r="C301" s="637" t="str">
        <f t="shared" si="2"/>
        <v>תעריפי ארנונה וסך חיוב</v>
      </c>
      <c r="D301" s="638"/>
      <c r="E301" s="638"/>
      <c r="F301" s="638"/>
      <c r="G301" s="638"/>
      <c r="H301" s="638"/>
      <c r="I301" s="638"/>
      <c r="J301" s="638"/>
      <c r="K301" s="638"/>
      <c r="L301" s="638"/>
      <c r="M301" s="638"/>
      <c r="N301" s="638"/>
      <c r="O301" s="130">
        <f t="shared" si="3"/>
        <v>0</v>
      </c>
      <c r="P301" s="130">
        <f t="shared" si="3"/>
        <v>0</v>
      </c>
    </row>
    <row r="302" spans="2:16" ht="18" x14ac:dyDescent="0.2">
      <c r="B302" s="207"/>
      <c r="C302" s="637" t="str">
        <f t="shared" si="2"/>
        <v>לתקופה: רבעון 1, שנת 2017</v>
      </c>
      <c r="D302" s="638"/>
      <c r="E302" s="638"/>
      <c r="F302" s="638"/>
      <c r="G302" s="638"/>
      <c r="H302" s="638"/>
      <c r="I302" s="638"/>
      <c r="J302" s="638"/>
      <c r="K302" s="638"/>
      <c r="L302" s="638"/>
      <c r="M302" s="638"/>
      <c r="N302" s="638"/>
      <c r="O302" s="130">
        <f t="shared" si="3"/>
        <v>0</v>
      </c>
      <c r="P302" s="130">
        <f t="shared" si="3"/>
        <v>0</v>
      </c>
    </row>
    <row r="303" spans="2:16" x14ac:dyDescent="0.2">
      <c r="B303" s="131">
        <f t="shared" ref="B303:B318" si="4">B4</f>
        <v>0</v>
      </c>
      <c r="C303" s="131">
        <f t="shared" si="2"/>
        <v>0</v>
      </c>
      <c r="D303" s="131">
        <f t="shared" si="2"/>
        <v>0</v>
      </c>
      <c r="E303" s="131">
        <f t="shared" si="2"/>
        <v>0</v>
      </c>
      <c r="F303" s="131">
        <f t="shared" si="2"/>
        <v>0</v>
      </c>
      <c r="G303" s="131">
        <f t="shared" si="2"/>
        <v>0</v>
      </c>
      <c r="H303" s="131">
        <f t="shared" si="2"/>
        <v>0</v>
      </c>
      <c r="I303" s="131">
        <f t="shared" si="2"/>
        <v>0</v>
      </c>
      <c r="J303" s="131">
        <f t="shared" si="2"/>
        <v>0</v>
      </c>
      <c r="K303" s="131">
        <f t="shared" si="2"/>
        <v>0</v>
      </c>
      <c r="L303" s="131">
        <f t="shared" si="2"/>
        <v>0</v>
      </c>
      <c r="M303" s="131">
        <f t="shared" si="2"/>
        <v>0</v>
      </c>
      <c r="N303" s="131">
        <f t="shared" si="2"/>
        <v>0</v>
      </c>
      <c r="O303" s="131">
        <f t="shared" si="3"/>
        <v>0</v>
      </c>
      <c r="P303" s="131">
        <f t="shared" si="3"/>
        <v>0</v>
      </c>
    </row>
    <row r="304" spans="2:16" ht="51" x14ac:dyDescent="0.2">
      <c r="B304" s="132" t="str">
        <f t="shared" si="4"/>
        <v>סוג הנכס</v>
      </c>
      <c r="C304" s="132" t="str">
        <f t="shared" si="2"/>
        <v>סה"כ שטח השנה במ"ר / דונם</v>
      </c>
      <c r="D304" s="132">
        <f t="shared" si="2"/>
        <v>0</v>
      </c>
      <c r="E304" s="132" t="str">
        <f t="shared" si="2"/>
        <v>תעריף שחוייב מקסימום בש"ח</v>
      </c>
      <c r="F304" s="132">
        <f t="shared" si="2"/>
        <v>0</v>
      </c>
      <c r="G304" s="132" t="str">
        <f t="shared" si="2"/>
        <v>תעריף שחוייב מינימום בש"ח</v>
      </c>
      <c r="H304" s="132">
        <f t="shared" si="2"/>
        <v>0</v>
      </c>
      <c r="I304" s="132" t="str">
        <f t="shared" si="2"/>
        <v>תעריף משוקלל בש"ח שנה נוכחית</v>
      </c>
      <c r="J304" s="132">
        <f t="shared" si="2"/>
        <v>0</v>
      </c>
      <c r="K304" s="132" t="str">
        <f t="shared" si="2"/>
        <v>תעריף משוקלל שנה קודמת בש"ח</v>
      </c>
      <c r="L304" s="132">
        <f t="shared" si="2"/>
        <v>0</v>
      </c>
      <c r="M304" s="132" t="str">
        <f t="shared" si="2"/>
        <v>השנוי ב %</v>
      </c>
      <c r="N304" s="132">
        <f t="shared" si="2"/>
        <v>0</v>
      </c>
      <c r="O304" s="132" t="str">
        <f t="shared" si="3"/>
        <v>סה"כ חיוב שנתי באלפי ₪</v>
      </c>
      <c r="P304" s="132">
        <f t="shared" si="3"/>
        <v>0</v>
      </c>
    </row>
    <row r="305" spans="2:16" x14ac:dyDescent="0.2">
      <c r="B305" s="133" t="str">
        <f t="shared" si="4"/>
        <v>מבני מגורים</v>
      </c>
      <c r="C305" s="208">
        <f t="shared" si="2"/>
        <v>664604.11</v>
      </c>
      <c r="D305" s="209">
        <f t="shared" si="2"/>
        <v>0</v>
      </c>
      <c r="E305" s="208">
        <f t="shared" si="2"/>
        <v>117.93</v>
      </c>
      <c r="F305" s="209">
        <f t="shared" si="2"/>
        <v>0</v>
      </c>
      <c r="G305" s="208">
        <f t="shared" si="2"/>
        <v>34.03</v>
      </c>
      <c r="H305" s="209">
        <f t="shared" si="2"/>
        <v>0</v>
      </c>
      <c r="I305" s="210">
        <f t="shared" si="2"/>
        <v>33.692238225851476</v>
      </c>
      <c r="J305" s="209">
        <f t="shared" si="2"/>
        <v>0</v>
      </c>
      <c r="K305" s="208">
        <f t="shared" si="2"/>
        <v>33</v>
      </c>
      <c r="L305" s="209">
        <f t="shared" si="2"/>
        <v>0</v>
      </c>
      <c r="M305" s="211">
        <f t="shared" si="2"/>
        <v>2.0976915934893207E-2</v>
      </c>
      <c r="N305" s="209">
        <f t="shared" si="2"/>
        <v>0</v>
      </c>
      <c r="O305" s="208">
        <f t="shared" si="3"/>
        <v>22392</v>
      </c>
      <c r="P305" s="212">
        <f t="shared" si="3"/>
        <v>0</v>
      </c>
    </row>
    <row r="306" spans="2:16" x14ac:dyDescent="0.2">
      <c r="B306" s="133" t="str">
        <f t="shared" si="4"/>
        <v>משרדים שרותים ומסחר</v>
      </c>
      <c r="C306" s="213">
        <f t="shared" si="2"/>
        <v>159316.84</v>
      </c>
      <c r="D306" s="209">
        <f t="shared" si="2"/>
        <v>0</v>
      </c>
      <c r="E306" s="213">
        <f t="shared" si="2"/>
        <v>377.83</v>
      </c>
      <c r="F306" s="209">
        <f t="shared" si="2"/>
        <v>0</v>
      </c>
      <c r="G306" s="213">
        <f t="shared" si="2"/>
        <v>66.819999999999993</v>
      </c>
      <c r="H306" s="209">
        <f t="shared" si="2"/>
        <v>0</v>
      </c>
      <c r="I306" s="214">
        <f t="shared" si="2"/>
        <v>72.672794665020973</v>
      </c>
      <c r="J306" s="209">
        <f t="shared" si="2"/>
        <v>0</v>
      </c>
      <c r="K306" s="213">
        <f t="shared" si="2"/>
        <v>73</v>
      </c>
      <c r="L306" s="209">
        <f t="shared" si="2"/>
        <v>0</v>
      </c>
      <c r="M306" s="215">
        <f t="shared" si="2"/>
        <v>-4.4822648627263961E-3</v>
      </c>
      <c r="N306" s="209">
        <f t="shared" si="2"/>
        <v>0</v>
      </c>
      <c r="O306" s="213">
        <f t="shared" si="3"/>
        <v>11578</v>
      </c>
      <c r="P306" s="212">
        <f t="shared" si="3"/>
        <v>0</v>
      </c>
    </row>
    <row r="307" spans="2:16" x14ac:dyDescent="0.2">
      <c r="B307" s="133" t="str">
        <f t="shared" si="4"/>
        <v>בנקים</v>
      </c>
      <c r="C307" s="213">
        <f t="shared" si="2"/>
        <v>60.68</v>
      </c>
      <c r="D307" s="209">
        <f t="shared" si="2"/>
        <v>0</v>
      </c>
      <c r="E307" s="213">
        <f t="shared" si="2"/>
        <v>1360.76</v>
      </c>
      <c r="F307" s="209">
        <f t="shared" si="2"/>
        <v>0</v>
      </c>
      <c r="G307" s="213">
        <f t="shared" si="2"/>
        <v>454.4</v>
      </c>
      <c r="H307" s="209">
        <f t="shared" si="2"/>
        <v>0</v>
      </c>
      <c r="I307" s="214">
        <f t="shared" si="2"/>
        <v>692.15557020435074</v>
      </c>
      <c r="J307" s="209">
        <f t="shared" si="2"/>
        <v>0</v>
      </c>
      <c r="K307" s="213">
        <f t="shared" si="2"/>
        <v>0</v>
      </c>
      <c r="L307" s="209">
        <f t="shared" si="2"/>
        <v>0</v>
      </c>
      <c r="M307" s="215">
        <f t="shared" si="2"/>
        <v>0</v>
      </c>
      <c r="N307" s="209">
        <f t="shared" si="2"/>
        <v>0</v>
      </c>
      <c r="O307" s="213">
        <f t="shared" si="3"/>
        <v>42</v>
      </c>
      <c r="P307" s="212">
        <f t="shared" si="3"/>
        <v>0</v>
      </c>
    </row>
    <row r="308" spans="2:16" x14ac:dyDescent="0.2">
      <c r="B308" s="133" t="str">
        <f t="shared" si="4"/>
        <v>תעשיה</v>
      </c>
      <c r="C308" s="213">
        <f t="shared" si="2"/>
        <v>167471.71</v>
      </c>
      <c r="D308" s="209">
        <f t="shared" si="2"/>
        <v>0</v>
      </c>
      <c r="E308" s="213">
        <f t="shared" si="2"/>
        <v>162.83000000000001</v>
      </c>
      <c r="F308" s="209">
        <f t="shared" si="2"/>
        <v>0</v>
      </c>
      <c r="G308" s="213">
        <f t="shared" si="2"/>
        <v>24.36</v>
      </c>
      <c r="H308" s="209">
        <f t="shared" si="2"/>
        <v>0</v>
      </c>
      <c r="I308" s="214">
        <f t="shared" si="2"/>
        <v>39.881362649249837</v>
      </c>
      <c r="J308" s="209">
        <f t="shared" si="2"/>
        <v>0</v>
      </c>
      <c r="K308" s="213">
        <f t="shared" si="2"/>
        <v>39</v>
      </c>
      <c r="L308" s="209">
        <f t="shared" si="2"/>
        <v>0</v>
      </c>
      <c r="M308" s="215">
        <f t="shared" si="2"/>
        <v>2.2599042288457365E-2</v>
      </c>
      <c r="N308" s="209">
        <f t="shared" si="2"/>
        <v>0</v>
      </c>
      <c r="O308" s="213">
        <f t="shared" si="3"/>
        <v>6679</v>
      </c>
      <c r="P308" s="212">
        <f t="shared" si="3"/>
        <v>0</v>
      </c>
    </row>
    <row r="309" spans="2:16" x14ac:dyDescent="0.2">
      <c r="B309" s="133" t="str">
        <f t="shared" si="4"/>
        <v>בתי מלון</v>
      </c>
      <c r="C309" s="213">
        <f t="shared" si="2"/>
        <v>88883.33</v>
      </c>
      <c r="D309" s="209">
        <f t="shared" si="2"/>
        <v>0</v>
      </c>
      <c r="E309" s="213">
        <f t="shared" si="2"/>
        <v>142.97999999999999</v>
      </c>
      <c r="F309" s="209">
        <f t="shared" si="2"/>
        <v>0</v>
      </c>
      <c r="G309" s="213">
        <f t="shared" si="2"/>
        <v>37.61</v>
      </c>
      <c r="H309" s="209">
        <f t="shared" si="2"/>
        <v>0</v>
      </c>
      <c r="I309" s="214">
        <f t="shared" si="2"/>
        <v>62.880182369404928</v>
      </c>
      <c r="J309" s="209">
        <f t="shared" si="2"/>
        <v>0</v>
      </c>
      <c r="K309" s="213">
        <f t="shared" si="2"/>
        <v>62</v>
      </c>
      <c r="L309" s="209">
        <f t="shared" si="2"/>
        <v>0</v>
      </c>
      <c r="M309" s="215">
        <f t="shared" si="2"/>
        <v>1.4196489829111736E-2</v>
      </c>
      <c r="N309" s="209">
        <f t="shared" si="2"/>
        <v>0</v>
      </c>
      <c r="O309" s="213">
        <f t="shared" si="3"/>
        <v>5589</v>
      </c>
      <c r="P309" s="212">
        <f t="shared" si="3"/>
        <v>0</v>
      </c>
    </row>
    <row r="310" spans="2:16" x14ac:dyDescent="0.2">
      <c r="B310" s="133" t="str">
        <f t="shared" si="4"/>
        <v>מלאכה</v>
      </c>
      <c r="C310" s="213">
        <f t="shared" si="2"/>
        <v>38482.35</v>
      </c>
      <c r="D310" s="209">
        <f t="shared" si="2"/>
        <v>0</v>
      </c>
      <c r="E310" s="213">
        <f t="shared" si="2"/>
        <v>219.69</v>
      </c>
      <c r="F310" s="209">
        <f t="shared" si="2"/>
        <v>0</v>
      </c>
      <c r="G310" s="213">
        <f t="shared" si="2"/>
        <v>45.11</v>
      </c>
      <c r="H310" s="209">
        <f t="shared" si="2"/>
        <v>0</v>
      </c>
      <c r="I310" s="214">
        <f t="shared" si="2"/>
        <v>57.324981452536036</v>
      </c>
      <c r="J310" s="209">
        <f t="shared" si="2"/>
        <v>0</v>
      </c>
      <c r="K310" s="213">
        <f t="shared" si="2"/>
        <v>56</v>
      </c>
      <c r="L310" s="209">
        <f t="shared" si="2"/>
        <v>0</v>
      </c>
      <c r="M310" s="215">
        <f t="shared" si="2"/>
        <v>2.3660383081000651E-2</v>
      </c>
      <c r="N310" s="209">
        <f t="shared" si="2"/>
        <v>0</v>
      </c>
      <c r="O310" s="213">
        <f t="shared" si="3"/>
        <v>2206</v>
      </c>
      <c r="P310" s="212">
        <f t="shared" si="3"/>
        <v>0</v>
      </c>
    </row>
    <row r="311" spans="2:16" x14ac:dyDescent="0.2">
      <c r="B311" s="133" t="str">
        <f t="shared" si="4"/>
        <v>אדמה חקלאית (לדונם)</v>
      </c>
      <c r="C311" s="213">
        <f t="shared" si="2"/>
        <v>50016.57</v>
      </c>
      <c r="D311" s="209">
        <f t="shared" si="2"/>
        <v>0</v>
      </c>
      <c r="E311" s="213">
        <f t="shared" si="2"/>
        <v>660</v>
      </c>
      <c r="F311" s="209">
        <f t="shared" si="2"/>
        <v>0</v>
      </c>
      <c r="G311" s="213">
        <f t="shared" si="2"/>
        <v>9.4509999999999987</v>
      </c>
      <c r="H311" s="209">
        <f t="shared" si="2"/>
        <v>0</v>
      </c>
      <c r="I311" s="214">
        <f t="shared" si="2"/>
        <v>39.686847778646154</v>
      </c>
      <c r="J311" s="209">
        <f t="shared" si="2"/>
        <v>0</v>
      </c>
      <c r="K311" s="213">
        <f t="shared" si="2"/>
        <v>43</v>
      </c>
      <c r="L311" s="209">
        <f t="shared" si="2"/>
        <v>0</v>
      </c>
      <c r="M311" s="215">
        <f t="shared" si="2"/>
        <v>-7.7050051659391772E-2</v>
      </c>
      <c r="N311" s="209">
        <f t="shared" si="2"/>
        <v>0</v>
      </c>
      <c r="O311" s="213">
        <f t="shared" si="3"/>
        <v>1985</v>
      </c>
      <c r="P311" s="212">
        <f t="shared" si="3"/>
        <v>0</v>
      </c>
    </row>
    <row r="312" spans="2:16" x14ac:dyDescent="0.2">
      <c r="B312" s="133" t="str">
        <f t="shared" si="4"/>
        <v>קרקע תפוסה (לדונם)</v>
      </c>
      <c r="C312" s="213">
        <f t="shared" si="2"/>
        <v>1647.2550800000001</v>
      </c>
      <c r="D312" s="209">
        <f t="shared" si="2"/>
        <v>0</v>
      </c>
      <c r="E312" s="213">
        <f t="shared" si="2"/>
        <v>54810</v>
      </c>
      <c r="F312" s="209">
        <f t="shared" si="2"/>
        <v>0</v>
      </c>
      <c r="G312" s="213">
        <f t="shared" si="2"/>
        <v>10.758000000000001</v>
      </c>
      <c r="H312" s="209">
        <f t="shared" si="2"/>
        <v>0</v>
      </c>
      <c r="I312" s="214">
        <f t="shared" si="2"/>
        <v>1990.5842390845744</v>
      </c>
      <c r="J312" s="209">
        <f t="shared" si="2"/>
        <v>0</v>
      </c>
      <c r="K312" s="213">
        <f t="shared" si="2"/>
        <v>1959</v>
      </c>
      <c r="L312" s="209">
        <f t="shared" si="2"/>
        <v>0</v>
      </c>
      <c r="M312" s="215">
        <f t="shared" si="2"/>
        <v>1.6122633529644916E-2</v>
      </c>
      <c r="N312" s="209">
        <f t="shared" si="2"/>
        <v>0</v>
      </c>
      <c r="O312" s="213">
        <f t="shared" si="3"/>
        <v>3279</v>
      </c>
      <c r="P312" s="212">
        <f t="shared" si="3"/>
        <v>0</v>
      </c>
    </row>
    <row r="313" spans="2:16" x14ac:dyDescent="0.2">
      <c r="B313" s="133" t="str">
        <f t="shared" si="4"/>
        <v>קרקע במפעל עתיר שטח (לדונם)</v>
      </c>
      <c r="C313" s="213">
        <f t="shared" si="2"/>
        <v>0</v>
      </c>
      <c r="D313" s="209">
        <f t="shared" si="2"/>
        <v>0</v>
      </c>
      <c r="E313" s="213">
        <f t="shared" si="2"/>
        <v>0</v>
      </c>
      <c r="F313" s="209">
        <f t="shared" si="2"/>
        <v>0</v>
      </c>
      <c r="G313" s="213">
        <f t="shared" si="2"/>
        <v>0</v>
      </c>
      <c r="H313" s="209">
        <f t="shared" si="2"/>
        <v>0</v>
      </c>
      <c r="I313" s="214">
        <f t="shared" si="2"/>
        <v>0</v>
      </c>
      <c r="J313" s="209">
        <f t="shared" si="2"/>
        <v>0</v>
      </c>
      <c r="K313" s="213">
        <f t="shared" si="2"/>
        <v>0</v>
      </c>
      <c r="L313" s="209">
        <f t="shared" si="2"/>
        <v>0</v>
      </c>
      <c r="M313" s="215">
        <f t="shared" si="2"/>
        <v>0</v>
      </c>
      <c r="N313" s="209">
        <f t="shared" si="2"/>
        <v>0</v>
      </c>
      <c r="O313" s="213">
        <f t="shared" si="3"/>
        <v>0</v>
      </c>
      <c r="P313" s="212">
        <f t="shared" si="3"/>
        <v>0</v>
      </c>
    </row>
    <row r="314" spans="2:16" x14ac:dyDescent="0.2">
      <c r="B314" s="133" t="str">
        <f t="shared" si="4"/>
        <v>חניונים</v>
      </c>
      <c r="C314" s="213">
        <f t="shared" si="2"/>
        <v>8116.5</v>
      </c>
      <c r="D314" s="209">
        <f t="shared" si="2"/>
        <v>0</v>
      </c>
      <c r="E314" s="213">
        <f t="shared" si="2"/>
        <v>65.87</v>
      </c>
      <c r="F314" s="209">
        <f t="shared" si="2"/>
        <v>0</v>
      </c>
      <c r="G314" s="213">
        <f t="shared" si="2"/>
        <v>1.39</v>
      </c>
      <c r="H314" s="209">
        <f t="shared" si="2"/>
        <v>0</v>
      </c>
      <c r="I314" s="214">
        <f t="shared" si="2"/>
        <v>1.1088523378303456</v>
      </c>
      <c r="J314" s="209">
        <f t="shared" si="2"/>
        <v>0</v>
      </c>
      <c r="K314" s="213">
        <f t="shared" si="2"/>
        <v>1</v>
      </c>
      <c r="L314" s="209">
        <f t="shared" si="2"/>
        <v>0</v>
      </c>
      <c r="M314" s="215">
        <f t="shared" si="2"/>
        <v>0.10885233783034565</v>
      </c>
      <c r="N314" s="209">
        <f t="shared" si="2"/>
        <v>0</v>
      </c>
      <c r="O314" s="213">
        <f t="shared" si="3"/>
        <v>9</v>
      </c>
      <c r="P314" s="212">
        <f t="shared" si="3"/>
        <v>0</v>
      </c>
    </row>
    <row r="315" spans="2:16" x14ac:dyDescent="0.2">
      <c r="B315" s="133" t="str">
        <f t="shared" si="4"/>
        <v>מבנה חקלאי</v>
      </c>
      <c r="C315" s="213">
        <f t="shared" si="2"/>
        <v>313260.92</v>
      </c>
      <c r="D315" s="209">
        <f t="shared" si="2"/>
        <v>0</v>
      </c>
      <c r="E315" s="213">
        <f t="shared" si="2"/>
        <v>44.93</v>
      </c>
      <c r="F315" s="209">
        <f t="shared" si="2"/>
        <v>0</v>
      </c>
      <c r="G315" s="213">
        <f t="shared" si="2"/>
        <v>0.34300000000000003</v>
      </c>
      <c r="H315" s="209">
        <f t="shared" si="2"/>
        <v>0</v>
      </c>
      <c r="I315" s="214">
        <f t="shared" si="2"/>
        <v>0.33837607321079183</v>
      </c>
      <c r="J315" s="209">
        <f t="shared" si="2"/>
        <v>0</v>
      </c>
      <c r="K315" s="213">
        <f t="shared" si="2"/>
        <v>0.32</v>
      </c>
      <c r="L315" s="209">
        <f t="shared" si="2"/>
        <v>0</v>
      </c>
      <c r="M315" s="215">
        <f t="shared" si="2"/>
        <v>5.7425228783724441E-2</v>
      </c>
      <c r="N315" s="209">
        <f t="shared" si="2"/>
        <v>0</v>
      </c>
      <c r="O315" s="213">
        <f t="shared" si="3"/>
        <v>106</v>
      </c>
      <c r="P315" s="212">
        <f t="shared" si="3"/>
        <v>0</v>
      </c>
    </row>
    <row r="316" spans="2:16" x14ac:dyDescent="0.2">
      <c r="B316" s="133" t="str">
        <f t="shared" si="4"/>
        <v>נכסי מדינה</v>
      </c>
      <c r="C316" s="213">
        <f t="shared" ref="C316:P316" si="5">C17</f>
        <v>0</v>
      </c>
      <c r="D316" s="209">
        <f t="shared" si="5"/>
        <v>0</v>
      </c>
      <c r="E316" s="213">
        <f t="shared" si="5"/>
        <v>0</v>
      </c>
      <c r="F316" s="209">
        <f t="shared" si="5"/>
        <v>0</v>
      </c>
      <c r="G316" s="213">
        <f t="shared" si="5"/>
        <v>0</v>
      </c>
      <c r="H316" s="209">
        <f t="shared" si="5"/>
        <v>0</v>
      </c>
      <c r="I316" s="214">
        <f t="shared" si="5"/>
        <v>0</v>
      </c>
      <c r="J316" s="209">
        <f t="shared" si="5"/>
        <v>0</v>
      </c>
      <c r="K316" s="213">
        <f t="shared" si="5"/>
        <v>0</v>
      </c>
      <c r="L316" s="209">
        <f t="shared" si="5"/>
        <v>0</v>
      </c>
      <c r="M316" s="215">
        <f t="shared" si="5"/>
        <v>0</v>
      </c>
      <c r="N316" s="209">
        <f t="shared" si="5"/>
        <v>0</v>
      </c>
      <c r="O316" s="213">
        <f t="shared" si="5"/>
        <v>0</v>
      </c>
      <c r="P316" s="212">
        <f t="shared" si="5"/>
        <v>0</v>
      </c>
    </row>
    <row r="317" spans="2:16" x14ac:dyDescent="0.2">
      <c r="B317" s="133" t="str">
        <f t="shared" si="4"/>
        <v>נכסים אחרים</v>
      </c>
      <c r="C317" s="213">
        <f t="shared" ref="C317:P317" si="6">C18</f>
        <v>785.92</v>
      </c>
      <c r="D317" s="209">
        <f t="shared" si="6"/>
        <v>0</v>
      </c>
      <c r="E317" s="213">
        <f t="shared" si="6"/>
        <v>0</v>
      </c>
      <c r="F317" s="209">
        <f t="shared" si="6"/>
        <v>0</v>
      </c>
      <c r="G317" s="213">
        <f t="shared" si="6"/>
        <v>0</v>
      </c>
      <c r="H317" s="209">
        <f t="shared" si="6"/>
        <v>0</v>
      </c>
      <c r="I317" s="214">
        <f t="shared" si="6"/>
        <v>66.164495114006513</v>
      </c>
      <c r="J317" s="209">
        <f t="shared" si="6"/>
        <v>0</v>
      </c>
      <c r="K317" s="213">
        <f t="shared" si="6"/>
        <v>14</v>
      </c>
      <c r="L317" s="209">
        <f t="shared" si="6"/>
        <v>0</v>
      </c>
      <c r="M317" s="215">
        <f t="shared" si="6"/>
        <v>3.7260353652861795</v>
      </c>
      <c r="N317" s="209">
        <f t="shared" si="6"/>
        <v>0</v>
      </c>
      <c r="O317" s="213">
        <f t="shared" si="6"/>
        <v>52</v>
      </c>
      <c r="P317" s="212">
        <f t="shared" si="6"/>
        <v>0</v>
      </c>
    </row>
    <row r="318" spans="2:16" ht="13.5" thickBot="1" x14ac:dyDescent="0.25">
      <c r="B318" s="133" t="str">
        <f t="shared" si="4"/>
        <v>סה"כ</v>
      </c>
      <c r="C318" s="216">
        <f t="shared" ref="C318:P318" si="7">C19</f>
        <v>1492646.18508</v>
      </c>
      <c r="D318" s="209">
        <f t="shared" si="7"/>
        <v>0</v>
      </c>
      <c r="E318" s="209">
        <f t="shared" si="7"/>
        <v>0</v>
      </c>
      <c r="F318" s="209">
        <f t="shared" si="7"/>
        <v>0</v>
      </c>
      <c r="G318" s="209">
        <f t="shared" si="7"/>
        <v>0</v>
      </c>
      <c r="H318" s="209">
        <f t="shared" si="7"/>
        <v>0</v>
      </c>
      <c r="I318" s="209">
        <f t="shared" si="7"/>
        <v>0</v>
      </c>
      <c r="J318" s="209">
        <f t="shared" si="7"/>
        <v>0</v>
      </c>
      <c r="K318" s="209">
        <f t="shared" si="7"/>
        <v>0</v>
      </c>
      <c r="L318" s="209">
        <f t="shared" si="7"/>
        <v>0</v>
      </c>
      <c r="M318" s="209">
        <f t="shared" si="7"/>
        <v>0</v>
      </c>
      <c r="N318" s="209">
        <f t="shared" si="7"/>
        <v>0</v>
      </c>
      <c r="O318" s="216">
        <f t="shared" si="7"/>
        <v>53917</v>
      </c>
      <c r="P318" s="212">
        <f t="shared" si="7"/>
        <v>0</v>
      </c>
    </row>
    <row r="319" spans="2:16" ht="13.5" thickTop="1" x14ac:dyDescent="0.2">
      <c r="B319" s="133">
        <f t="shared" ref="B319:P322" si="8">B20</f>
        <v>0</v>
      </c>
      <c r="C319" s="209">
        <f t="shared" si="8"/>
        <v>0</v>
      </c>
      <c r="D319" s="209">
        <f t="shared" si="8"/>
        <v>0</v>
      </c>
      <c r="E319" s="209">
        <f t="shared" si="8"/>
        <v>0</v>
      </c>
      <c r="F319" s="209">
        <f t="shared" si="8"/>
        <v>0</v>
      </c>
      <c r="G319" s="209">
        <f t="shared" si="8"/>
        <v>0</v>
      </c>
      <c r="H319" s="209">
        <f t="shared" si="8"/>
        <v>0</v>
      </c>
      <c r="I319" s="209">
        <f t="shared" si="8"/>
        <v>0</v>
      </c>
      <c r="J319" s="209">
        <f t="shared" si="8"/>
        <v>0</v>
      </c>
      <c r="K319" s="209">
        <f t="shared" si="8"/>
        <v>0</v>
      </c>
      <c r="L319" s="209">
        <f t="shared" si="8"/>
        <v>0</v>
      </c>
      <c r="M319" s="209">
        <f t="shared" si="8"/>
        <v>0</v>
      </c>
      <c r="N319" s="209">
        <f t="shared" si="8"/>
        <v>0</v>
      </c>
      <c r="O319" s="209">
        <f t="shared" si="8"/>
        <v>0</v>
      </c>
      <c r="P319" s="212">
        <f t="shared" si="8"/>
        <v>0</v>
      </c>
    </row>
    <row r="320" spans="2:16" ht="38.25" x14ac:dyDescent="0.2">
      <c r="B320" s="132" t="str">
        <f t="shared" si="8"/>
        <v>אזורי תעשיה משותפים</v>
      </c>
      <c r="C320" s="132" t="str">
        <f t="shared" si="8"/>
        <v>סה"כ שטח השנה במ"ר</v>
      </c>
      <c r="D320" s="132">
        <f t="shared" si="8"/>
        <v>0</v>
      </c>
      <c r="E320" s="132" t="str">
        <f t="shared" si="8"/>
        <v>תעריף שחוייב מקסימום</v>
      </c>
      <c r="F320" s="132">
        <f t="shared" si="8"/>
        <v>0</v>
      </c>
      <c r="G320" s="132" t="str">
        <f t="shared" si="8"/>
        <v>תעריף שחוייב מינימום</v>
      </c>
      <c r="H320" s="132">
        <f t="shared" si="8"/>
        <v>0</v>
      </c>
      <c r="I320" s="132" t="str">
        <f t="shared" si="8"/>
        <v>תעריף משוקלל שנה נוכחית</v>
      </c>
      <c r="J320" s="132">
        <f t="shared" si="8"/>
        <v>0</v>
      </c>
      <c r="K320" s="132" t="str">
        <f t="shared" si="8"/>
        <v>תעריף משוקלל שנה קודמת</v>
      </c>
      <c r="L320" s="132">
        <f t="shared" si="8"/>
        <v>0</v>
      </c>
      <c r="M320" s="132" t="str">
        <f t="shared" si="8"/>
        <v>השינוי ב %</v>
      </c>
      <c r="N320" s="132">
        <f t="shared" si="8"/>
        <v>0</v>
      </c>
      <c r="O320" s="132" t="str">
        <f t="shared" si="8"/>
        <v>סה"כ חיוב באלפי ₪</v>
      </c>
      <c r="P320" s="132">
        <f t="shared" si="8"/>
        <v>0</v>
      </c>
    </row>
    <row r="321" spans="2:16" ht="25.5" x14ac:dyDescent="0.2">
      <c r="B321" s="145" t="str">
        <f t="shared" si="8"/>
        <v>בניכוי/תוספת חיוב ארנונה בגין אזורי תעשייה משותפים</v>
      </c>
      <c r="C321" s="208">
        <f t="shared" si="8"/>
        <v>0</v>
      </c>
      <c r="D321" s="134">
        <f t="shared" si="8"/>
        <v>0</v>
      </c>
      <c r="E321" s="208">
        <f t="shared" si="8"/>
        <v>0</v>
      </c>
      <c r="F321" s="134">
        <f t="shared" si="8"/>
        <v>0</v>
      </c>
      <c r="G321" s="208">
        <f t="shared" si="8"/>
        <v>0</v>
      </c>
      <c r="H321" s="134">
        <f t="shared" si="8"/>
        <v>0</v>
      </c>
      <c r="I321" s="210">
        <f t="shared" si="8"/>
        <v>0</v>
      </c>
      <c r="J321" s="134">
        <f t="shared" si="8"/>
        <v>0</v>
      </c>
      <c r="K321" s="208">
        <f t="shared" si="8"/>
        <v>0</v>
      </c>
      <c r="L321" s="134">
        <f t="shared" si="8"/>
        <v>0</v>
      </c>
      <c r="M321" s="211">
        <f t="shared" si="8"/>
        <v>0</v>
      </c>
      <c r="N321" s="134">
        <f t="shared" si="8"/>
        <v>0</v>
      </c>
      <c r="O321" s="208">
        <f t="shared" si="8"/>
        <v>0</v>
      </c>
      <c r="P321" s="212">
        <f t="shared" si="8"/>
        <v>0</v>
      </c>
    </row>
    <row r="322" spans="2:16" x14ac:dyDescent="0.2">
      <c r="B322" s="133">
        <f t="shared" si="8"/>
        <v>0</v>
      </c>
      <c r="C322" s="134">
        <f t="shared" si="8"/>
        <v>0</v>
      </c>
      <c r="D322" s="134">
        <f t="shared" si="8"/>
        <v>0</v>
      </c>
      <c r="E322" s="134">
        <f t="shared" si="8"/>
        <v>0</v>
      </c>
      <c r="F322" s="134">
        <f t="shared" si="8"/>
        <v>0</v>
      </c>
      <c r="G322" s="134">
        <f t="shared" si="8"/>
        <v>0</v>
      </c>
      <c r="H322" s="134">
        <f t="shared" si="8"/>
        <v>0</v>
      </c>
      <c r="I322" s="134">
        <f t="shared" si="8"/>
        <v>0</v>
      </c>
      <c r="J322" s="134">
        <f t="shared" si="8"/>
        <v>0</v>
      </c>
      <c r="K322" s="134">
        <f t="shared" si="8"/>
        <v>0</v>
      </c>
      <c r="L322" s="134">
        <f t="shared" si="8"/>
        <v>0</v>
      </c>
      <c r="M322" s="134">
        <f t="shared" si="8"/>
        <v>0</v>
      </c>
      <c r="N322" s="134">
        <f t="shared" si="8"/>
        <v>0</v>
      </c>
      <c r="O322" s="134">
        <f t="shared" si="8"/>
        <v>0</v>
      </c>
      <c r="P322" s="212">
        <f t="shared" si="8"/>
        <v>0</v>
      </c>
    </row>
    <row r="326" spans="2:16" x14ac:dyDescent="0.2">
      <c r="B326" s="147" t="str">
        <f>CONCATENATE("ביקורת:   ",BikoretCode)</f>
        <v xml:space="preserve">ביקורת:   </v>
      </c>
    </row>
  </sheetData>
  <sheetProtection password="83C1" sheet="1" objects="1" scenarios="1"/>
  <mergeCells count="6">
    <mergeCell ref="C301:N301"/>
    <mergeCell ref="C302:N302"/>
    <mergeCell ref="C1:P1"/>
    <mergeCell ref="C2:P2"/>
    <mergeCell ref="C3:P3"/>
    <mergeCell ref="C300:N300"/>
  </mergeCells>
  <phoneticPr fontId="58" type="noConversion"/>
  <dataValidations count="2">
    <dataValidation type="decimal" errorStyle="warning" operator="lessThanOrEqual" allowBlank="1" showInputMessage="1" showErrorMessage="1" sqref="G22 H6:H18 G6:G11 G13:G18">
      <formula1>I6</formula1>
    </dataValidation>
    <dataValidation type="decimal" errorStyle="warning" operator="greaterThanOrEqual" allowBlank="1" showInputMessage="1" showErrorMessage="1" sqref="E6:F18 G12">
      <formula1>I6</formula1>
    </dataValidation>
  </dataValidations>
  <hyperlinks>
    <hyperlink ref="A4" location="'תוכן הענינים'!A1" tooltip="לחץ להצגת גליון תוכן הענינים" display="הצג תוכן ענינים"/>
  </hyperlinks>
  <printOptions horizontalCentered="1"/>
  <pageMargins left="0.75" right="0.75" top="1" bottom="1" header="0.5" footer="0.5"/>
  <pageSetup paperSize="9" scale="98" orientation="landscape" blackAndWhite="1" verticalDpi="0" r:id="rId1"/>
  <headerFooter alignWithMargins="0"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2"/>
  <dimension ref="A1:R360"/>
  <sheetViews>
    <sheetView showRowColHeaders="0" showZeros="0" rightToLeft="1" topLeftCell="A3" zoomScale="80" workbookViewId="0">
      <selection activeCell="A4" sqref="A4"/>
    </sheetView>
  </sheetViews>
  <sheetFormatPr defaultColWidth="9.140625" defaultRowHeight="12.75" x14ac:dyDescent="0.2"/>
  <cols>
    <col min="1" max="1" width="9.140625" style="107"/>
    <col min="2" max="2" width="4.5703125" style="107" customWidth="1"/>
    <col min="3" max="3" width="25.7109375" style="107" customWidth="1"/>
    <col min="4" max="4" width="11.42578125" style="107" customWidth="1"/>
    <col min="5" max="5" width="2.28515625" style="107" customWidth="1"/>
    <col min="6" max="6" width="12" style="107" customWidth="1"/>
    <col min="7" max="7" width="2.42578125" style="107" customWidth="1"/>
    <col min="8" max="8" width="11.5703125" style="107" customWidth="1"/>
    <col min="9" max="9" width="2.42578125" style="107" customWidth="1"/>
    <col min="10" max="10" width="11.5703125" style="107" customWidth="1"/>
    <col min="11" max="11" width="2.28515625" style="107" customWidth="1"/>
    <col min="12" max="12" width="11.42578125" style="107" customWidth="1"/>
    <col min="13" max="13" width="2.28515625" style="107" customWidth="1"/>
    <col min="14" max="14" width="11.42578125" style="107" customWidth="1"/>
    <col min="15" max="15" width="2.28515625" style="107" customWidth="1"/>
    <col min="16" max="16" width="11.42578125" style="107" customWidth="1"/>
    <col min="17" max="17" width="4.140625" style="107" customWidth="1"/>
    <col min="18" max="16384" width="9.140625" style="107"/>
  </cols>
  <sheetData>
    <row r="1" spans="1:18" ht="21" customHeight="1" thickTop="1" thickBot="1" x14ac:dyDescent="0.25">
      <c r="A1" s="106"/>
      <c r="B1" s="106"/>
      <c r="C1" s="106"/>
      <c r="D1" s="639" t="str">
        <f>GufMevukar</f>
        <v>מ"א עמק הירדן</v>
      </c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1"/>
      <c r="R1" s="106"/>
    </row>
    <row r="2" spans="1:18" ht="19.5" thickTop="1" thickBot="1" x14ac:dyDescent="0.25">
      <c r="A2" s="106"/>
      <c r="B2" s="106"/>
      <c r="C2" s="106"/>
      <c r="D2" s="642" t="s">
        <v>698</v>
      </c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5"/>
      <c r="R2" s="106"/>
    </row>
    <row r="3" spans="1:18" ht="19.5" thickTop="1" thickBot="1" x14ac:dyDescent="0.25">
      <c r="A3" s="106"/>
      <c r="B3" s="106"/>
      <c r="C3" s="106"/>
      <c r="D3" s="639" t="str">
        <f>ReportPeriod</f>
        <v>לתקופה: רבעון 1, שנת 2017</v>
      </c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1"/>
      <c r="R3" s="106"/>
    </row>
    <row r="4" spans="1:18" ht="13.5" thickTop="1" x14ac:dyDescent="0.2">
      <c r="A4" s="110" t="s">
        <v>584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2"/>
    </row>
    <row r="5" spans="1:18" x14ac:dyDescent="0.2">
      <c r="A5" s="111"/>
      <c r="B5" s="111"/>
      <c r="C5" s="646"/>
      <c r="D5" s="646"/>
      <c r="E5" s="646"/>
      <c r="F5" s="646"/>
      <c r="G5" s="646"/>
      <c r="H5" s="646"/>
      <c r="I5" s="646"/>
      <c r="J5" s="646"/>
      <c r="K5" s="646"/>
      <c r="L5" s="646"/>
      <c r="M5" s="646"/>
      <c r="N5" s="646"/>
      <c r="O5" s="646"/>
      <c r="P5" s="646"/>
      <c r="Q5" s="111"/>
      <c r="R5" s="112"/>
    </row>
    <row r="6" spans="1:18" ht="12.75" customHeight="1" x14ac:dyDescent="0.2">
      <c r="A6" s="111"/>
      <c r="B6" s="113"/>
      <c r="C6" s="113"/>
      <c r="D6" s="647" t="str">
        <f>CONCATENATE("תקציב ",Shana)</f>
        <v>תקציב 2017</v>
      </c>
      <c r="E6" s="648"/>
      <c r="F6" s="648"/>
      <c r="G6" s="113"/>
      <c r="H6" s="113"/>
      <c r="I6" s="113"/>
      <c r="J6" s="647" t="str">
        <f>CONCATENATE("ביצוע בפועל"," ",Shana)</f>
        <v>ביצוע בפועל 2017</v>
      </c>
      <c r="K6" s="648"/>
      <c r="L6" s="648"/>
      <c r="M6" s="113"/>
      <c r="N6" s="648" t="s">
        <v>699</v>
      </c>
      <c r="O6" s="648"/>
      <c r="P6" s="648"/>
      <c r="Q6" s="113"/>
      <c r="R6" s="112"/>
    </row>
    <row r="7" spans="1:18" ht="38.25" x14ac:dyDescent="0.2">
      <c r="A7" s="111"/>
      <c r="B7" s="113" t="s">
        <v>700</v>
      </c>
      <c r="C7" s="113" t="s">
        <v>701</v>
      </c>
      <c r="D7" s="113" t="s">
        <v>702</v>
      </c>
      <c r="E7" s="113"/>
      <c r="F7" s="113" t="s">
        <v>703</v>
      </c>
      <c r="G7" s="113"/>
      <c r="H7" s="114" t="s">
        <v>704</v>
      </c>
      <c r="I7" s="113"/>
      <c r="J7" s="114" t="s">
        <v>404</v>
      </c>
      <c r="K7" s="113"/>
      <c r="L7" s="114" t="s">
        <v>403</v>
      </c>
      <c r="M7" s="113"/>
      <c r="N7" s="113" t="s">
        <v>702</v>
      </c>
      <c r="O7" s="113"/>
      <c r="P7" s="113" t="s">
        <v>703</v>
      </c>
      <c r="Q7" s="113"/>
      <c r="R7" s="112"/>
    </row>
    <row r="8" spans="1:18" x14ac:dyDescent="0.2">
      <c r="A8" s="111"/>
      <c r="B8" s="115"/>
      <c r="C8" s="116"/>
      <c r="D8" s="116"/>
      <c r="E8" s="116"/>
      <c r="F8" s="116"/>
      <c r="G8" s="190"/>
      <c r="H8" s="190"/>
      <c r="I8" s="116"/>
      <c r="J8" s="116"/>
      <c r="K8" s="116"/>
      <c r="L8" s="116"/>
      <c r="M8" s="116"/>
      <c r="N8" s="116"/>
      <c r="O8" s="116"/>
      <c r="P8" s="116"/>
      <c r="Q8" s="117"/>
      <c r="R8" s="112"/>
    </row>
    <row r="9" spans="1:18" x14ac:dyDescent="0.2">
      <c r="A9" s="111"/>
      <c r="B9" s="115">
        <v>6</v>
      </c>
      <c r="C9" s="191" t="s">
        <v>705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7"/>
      <c r="R9" s="112"/>
    </row>
    <row r="10" spans="1:18" x14ac:dyDescent="0.2">
      <c r="A10" s="111"/>
      <c r="B10" s="115">
        <v>61</v>
      </c>
      <c r="C10" s="116" t="s">
        <v>706</v>
      </c>
      <c r="D10" s="119">
        <v>1</v>
      </c>
      <c r="E10" s="116"/>
      <c r="F10" s="119">
        <v>660</v>
      </c>
      <c r="G10" s="116"/>
      <c r="H10" s="120">
        <f>(F10*'הגדרות כלליות'!$D$20/4)</f>
        <v>165</v>
      </c>
      <c r="I10" s="116"/>
      <c r="J10" s="119">
        <v>1</v>
      </c>
      <c r="K10" s="116"/>
      <c r="L10" s="119">
        <v>165</v>
      </c>
      <c r="M10" s="116"/>
      <c r="N10" s="120">
        <f>D10-J10</f>
        <v>0</v>
      </c>
      <c r="O10" s="116"/>
      <c r="P10" s="120">
        <f>H10-L10</f>
        <v>0</v>
      </c>
      <c r="Q10" s="117"/>
      <c r="R10" s="112"/>
    </row>
    <row r="11" spans="1:18" x14ac:dyDescent="0.2">
      <c r="A11" s="111"/>
      <c r="B11" s="115">
        <v>61</v>
      </c>
      <c r="C11" s="116" t="s">
        <v>707</v>
      </c>
      <c r="D11" s="119">
        <v>9.5</v>
      </c>
      <c r="E11" s="116"/>
      <c r="F11" s="119">
        <v>1720</v>
      </c>
      <c r="G11" s="116"/>
      <c r="H11" s="120">
        <f>(F11*'הגדרות כלליות'!$D$20/4)</f>
        <v>430</v>
      </c>
      <c r="I11" s="116"/>
      <c r="J11" s="119">
        <v>8.5</v>
      </c>
      <c r="K11" s="116"/>
      <c r="L11" s="119">
        <v>449</v>
      </c>
      <c r="M11" s="116"/>
      <c r="N11" s="120">
        <f>D11-J11</f>
        <v>1</v>
      </c>
      <c r="O11" s="116"/>
      <c r="P11" s="120">
        <f>H11-L11</f>
        <v>-19</v>
      </c>
      <c r="Q11" s="117"/>
      <c r="R11" s="112"/>
    </row>
    <row r="12" spans="1:18" x14ac:dyDescent="0.2">
      <c r="A12" s="111"/>
      <c r="B12" s="115">
        <v>62</v>
      </c>
      <c r="C12" s="116" t="s">
        <v>708</v>
      </c>
      <c r="D12" s="119">
        <v>5</v>
      </c>
      <c r="E12" s="116"/>
      <c r="F12" s="119">
        <v>1024</v>
      </c>
      <c r="G12" s="116"/>
      <c r="H12" s="120">
        <f>(F12*'הגדרות כלליות'!$D$20/4)</f>
        <v>256</v>
      </c>
      <c r="I12" s="116"/>
      <c r="J12" s="119">
        <v>4.82</v>
      </c>
      <c r="K12" s="116"/>
      <c r="L12" s="178">
        <v>308</v>
      </c>
      <c r="M12" s="116"/>
      <c r="N12" s="120">
        <f>D12-J12</f>
        <v>0.17999999999999972</v>
      </c>
      <c r="O12" s="116"/>
      <c r="P12" s="120">
        <f>H12-L12</f>
        <v>-52</v>
      </c>
      <c r="Q12" s="117"/>
      <c r="R12" s="112"/>
    </row>
    <row r="13" spans="1:18" x14ac:dyDescent="0.2">
      <c r="A13" s="111"/>
      <c r="B13" s="115"/>
      <c r="C13" s="192" t="s">
        <v>709</v>
      </c>
      <c r="D13" s="193">
        <f>SUM(D10:D12)</f>
        <v>15.5</v>
      </c>
      <c r="E13" s="116"/>
      <c r="F13" s="193">
        <f>SUM(F10:F12)</f>
        <v>3404</v>
      </c>
      <c r="G13" s="116"/>
      <c r="H13" s="193">
        <f>SUM(H10:H12)</f>
        <v>851</v>
      </c>
      <c r="I13" s="116"/>
      <c r="J13" s="193">
        <f>SUM(J10:J12)</f>
        <v>14.32</v>
      </c>
      <c r="K13" s="116"/>
      <c r="L13" s="193">
        <f>SUM(L10:L12)</f>
        <v>922</v>
      </c>
      <c r="M13" s="116"/>
      <c r="N13" s="193">
        <f>SUM(N10:N12)</f>
        <v>1.1799999999999997</v>
      </c>
      <c r="O13" s="116"/>
      <c r="P13" s="193">
        <f>SUM(P10:P12)</f>
        <v>-71</v>
      </c>
      <c r="Q13" s="117"/>
      <c r="R13" s="112"/>
    </row>
    <row r="14" spans="1:18" x14ac:dyDescent="0.2">
      <c r="A14" s="111"/>
      <c r="B14" s="115">
        <v>7</v>
      </c>
      <c r="C14" s="191" t="s">
        <v>710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7"/>
      <c r="R14" s="112"/>
    </row>
    <row r="15" spans="1:18" x14ac:dyDescent="0.2">
      <c r="A15" s="111"/>
      <c r="B15" s="115">
        <v>71</v>
      </c>
      <c r="C15" s="116" t="s">
        <v>711</v>
      </c>
      <c r="D15" s="119">
        <v>17.100000000000001</v>
      </c>
      <c r="E15" s="116"/>
      <c r="F15" s="119">
        <v>4595</v>
      </c>
      <c r="G15" s="116"/>
      <c r="H15" s="120">
        <f>(F15*'הגדרות כלליות'!$D$20/4)</f>
        <v>1148.75</v>
      </c>
      <c r="I15" s="116"/>
      <c r="J15" s="119">
        <f>15.67+0.33</f>
        <v>16</v>
      </c>
      <c r="K15" s="116"/>
      <c r="L15" s="119">
        <f>1024+36</f>
        <v>1060</v>
      </c>
      <c r="M15" s="116"/>
      <c r="N15" s="120">
        <f t="shared" ref="N15:N21" si="0">D15-J15</f>
        <v>1.1000000000000014</v>
      </c>
      <c r="O15" s="116"/>
      <c r="P15" s="120">
        <f t="shared" ref="P15:P21" si="1">H15-L15</f>
        <v>88.75</v>
      </c>
      <c r="Q15" s="117"/>
      <c r="R15" s="112"/>
    </row>
    <row r="16" spans="1:18" x14ac:dyDescent="0.2">
      <c r="A16" s="111"/>
      <c r="B16" s="115">
        <v>72</v>
      </c>
      <c r="C16" s="116" t="s">
        <v>712</v>
      </c>
      <c r="D16" s="119">
        <v>1</v>
      </c>
      <c r="E16" s="116"/>
      <c r="F16" s="119">
        <v>190</v>
      </c>
      <c r="G16" s="116"/>
      <c r="H16" s="120">
        <f>(F16*'הגדרות כלליות'!$D$20/4)</f>
        <v>47.5</v>
      </c>
      <c r="I16" s="116"/>
      <c r="J16" s="119">
        <v>1</v>
      </c>
      <c r="K16" s="116"/>
      <c r="L16" s="119">
        <v>44</v>
      </c>
      <c r="M16" s="116"/>
      <c r="N16" s="120">
        <f t="shared" si="0"/>
        <v>0</v>
      </c>
      <c r="O16" s="116"/>
      <c r="P16" s="120">
        <f t="shared" si="1"/>
        <v>3.5</v>
      </c>
      <c r="Q16" s="117"/>
      <c r="R16" s="112"/>
    </row>
    <row r="17" spans="1:18" x14ac:dyDescent="0.2">
      <c r="A17" s="111"/>
      <c r="B17" s="115">
        <v>73</v>
      </c>
      <c r="C17" s="116" t="s">
        <v>713</v>
      </c>
      <c r="D17" s="119">
        <v>6.25</v>
      </c>
      <c r="E17" s="116"/>
      <c r="F17" s="119">
        <v>1386</v>
      </c>
      <c r="G17" s="116"/>
      <c r="H17" s="120">
        <f>(F17*'הגדרות כלליות'!$D$20/4)</f>
        <v>346.5</v>
      </c>
      <c r="I17" s="116"/>
      <c r="J17" s="119">
        <v>6.27</v>
      </c>
      <c r="K17" s="116"/>
      <c r="L17" s="119">
        <v>313</v>
      </c>
      <c r="M17" s="116"/>
      <c r="N17" s="120">
        <f t="shared" si="0"/>
        <v>-1.9999999999999574E-2</v>
      </c>
      <c r="O17" s="116"/>
      <c r="P17" s="120">
        <f t="shared" si="1"/>
        <v>33.5</v>
      </c>
      <c r="Q17" s="117"/>
      <c r="R17" s="112"/>
    </row>
    <row r="18" spans="1:18" x14ac:dyDescent="0.2">
      <c r="A18" s="111"/>
      <c r="B18" s="115">
        <v>74</v>
      </c>
      <c r="C18" s="194" t="s">
        <v>714</v>
      </c>
      <c r="D18" s="119">
        <v>2</v>
      </c>
      <c r="E18" s="116"/>
      <c r="F18" s="119">
        <v>496</v>
      </c>
      <c r="G18" s="116"/>
      <c r="H18" s="120">
        <f>(F18*'הגדרות כלליות'!$D$20/4)</f>
        <v>124</v>
      </c>
      <c r="I18" s="116"/>
      <c r="J18" s="119">
        <v>2</v>
      </c>
      <c r="K18" s="116"/>
      <c r="L18" s="119">
        <f>38+40+38</f>
        <v>116</v>
      </c>
      <c r="M18" s="116"/>
      <c r="N18" s="120">
        <f t="shared" si="0"/>
        <v>0</v>
      </c>
      <c r="O18" s="116"/>
      <c r="P18" s="120">
        <f t="shared" si="1"/>
        <v>8</v>
      </c>
      <c r="Q18" s="117"/>
      <c r="R18" s="112"/>
    </row>
    <row r="19" spans="1:18" x14ac:dyDescent="0.2">
      <c r="A19" s="111"/>
      <c r="B19" s="115">
        <v>76</v>
      </c>
      <c r="C19" s="194" t="s">
        <v>715</v>
      </c>
      <c r="D19" s="119">
        <v>0.15</v>
      </c>
      <c r="E19" s="116"/>
      <c r="F19" s="119">
        <v>14</v>
      </c>
      <c r="G19" s="116"/>
      <c r="H19" s="120">
        <f>(F19*'הגדרות כלליות'!$D$20/4)</f>
        <v>3.5</v>
      </c>
      <c r="I19" s="116"/>
      <c r="J19" s="119">
        <v>0.16</v>
      </c>
      <c r="K19" s="116"/>
      <c r="L19" s="119">
        <v>3</v>
      </c>
      <c r="M19" s="116"/>
      <c r="N19" s="120">
        <f t="shared" si="0"/>
        <v>-1.0000000000000009E-2</v>
      </c>
      <c r="O19" s="116"/>
      <c r="P19" s="120">
        <f t="shared" si="1"/>
        <v>0.5</v>
      </c>
      <c r="Q19" s="117"/>
      <c r="R19" s="112"/>
    </row>
    <row r="20" spans="1:18" x14ac:dyDescent="0.2">
      <c r="A20" s="111"/>
      <c r="B20" s="115">
        <v>78</v>
      </c>
      <c r="C20" s="116" t="s">
        <v>716</v>
      </c>
      <c r="D20" s="119">
        <v>1</v>
      </c>
      <c r="E20" s="116"/>
      <c r="F20" s="119">
        <v>130</v>
      </c>
      <c r="G20" s="116"/>
      <c r="H20" s="120">
        <f>(F20*'הגדרות כלליות'!$D$20/4)</f>
        <v>32.5</v>
      </c>
      <c r="I20" s="116"/>
      <c r="J20" s="119">
        <v>1</v>
      </c>
      <c r="K20" s="116"/>
      <c r="L20" s="119">
        <v>31</v>
      </c>
      <c r="M20" s="116"/>
      <c r="N20" s="120">
        <f t="shared" si="0"/>
        <v>0</v>
      </c>
      <c r="O20" s="116"/>
      <c r="P20" s="120">
        <f t="shared" si="1"/>
        <v>1.5</v>
      </c>
      <c r="Q20" s="117"/>
      <c r="R20" s="112"/>
    </row>
    <row r="21" spans="1:18" x14ac:dyDescent="0.2">
      <c r="A21" s="111"/>
      <c r="B21" s="115">
        <v>79</v>
      </c>
      <c r="C21" s="116" t="s">
        <v>717</v>
      </c>
      <c r="D21" s="119">
        <v>0.4</v>
      </c>
      <c r="E21" s="116"/>
      <c r="F21" s="119">
        <v>77</v>
      </c>
      <c r="G21" s="116"/>
      <c r="H21" s="120">
        <f>(F21*'הגדרות כלליות'!$D$20/4)</f>
        <v>19.25</v>
      </c>
      <c r="I21" s="116"/>
      <c r="J21" s="119">
        <v>0.4</v>
      </c>
      <c r="K21" s="116"/>
      <c r="L21" s="119">
        <v>18</v>
      </c>
      <c r="M21" s="116"/>
      <c r="N21" s="120">
        <f t="shared" si="0"/>
        <v>0</v>
      </c>
      <c r="O21" s="116"/>
      <c r="P21" s="120">
        <f t="shared" si="1"/>
        <v>1.25</v>
      </c>
      <c r="Q21" s="117"/>
      <c r="R21" s="112"/>
    </row>
    <row r="22" spans="1:18" x14ac:dyDescent="0.2">
      <c r="A22" s="111"/>
      <c r="B22" s="115"/>
      <c r="C22" s="192" t="s">
        <v>718</v>
      </c>
      <c r="D22" s="193">
        <f>SUM(D15:D21)</f>
        <v>27.9</v>
      </c>
      <c r="E22" s="195"/>
      <c r="F22" s="193">
        <f>SUM(F15:F21)</f>
        <v>6888</v>
      </c>
      <c r="G22" s="116"/>
      <c r="H22" s="193">
        <f>(F22*'הגדרות כלליות'!$D$20/4)</f>
        <v>1722</v>
      </c>
      <c r="I22" s="195"/>
      <c r="J22" s="193">
        <f>SUM(J15:J21)</f>
        <v>26.83</v>
      </c>
      <c r="K22" s="195"/>
      <c r="L22" s="193">
        <f>SUM(L15:L21)</f>
        <v>1585</v>
      </c>
      <c r="M22" s="195"/>
      <c r="N22" s="193">
        <f>SUM(N15:N21)</f>
        <v>1.0700000000000018</v>
      </c>
      <c r="O22" s="195"/>
      <c r="P22" s="193">
        <f>SUM(P15:P21)</f>
        <v>137</v>
      </c>
      <c r="Q22" s="117"/>
      <c r="R22" s="112"/>
    </row>
    <row r="23" spans="1:18" x14ac:dyDescent="0.2">
      <c r="A23" s="111"/>
      <c r="B23" s="115">
        <v>8</v>
      </c>
      <c r="C23" s="191" t="s">
        <v>719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7"/>
      <c r="R23" s="112"/>
    </row>
    <row r="24" spans="1:18" x14ac:dyDescent="0.2">
      <c r="A24" s="111"/>
      <c r="B24" s="115">
        <v>81</v>
      </c>
      <c r="C24" s="116" t="s">
        <v>720</v>
      </c>
      <c r="D24" s="119">
        <v>172.1</v>
      </c>
      <c r="E24" s="116"/>
      <c r="F24" s="119">
        <v>33706</v>
      </c>
      <c r="G24" s="116"/>
      <c r="H24" s="120">
        <f>(F24*'הגדרות כלליות'!$D$20/4)</f>
        <v>8426.5</v>
      </c>
      <c r="I24" s="116"/>
      <c r="J24" s="119">
        <v>170.23</v>
      </c>
      <c r="K24" s="116"/>
      <c r="L24" s="119">
        <f>188+7659</f>
        <v>7847</v>
      </c>
      <c r="M24" s="116"/>
      <c r="N24" s="120">
        <f t="shared" ref="N24:N30" si="2">D24-J24</f>
        <v>1.8700000000000045</v>
      </c>
      <c r="O24" s="116"/>
      <c r="P24" s="120">
        <f t="shared" ref="P24:P30" si="3">H24-L24</f>
        <v>579.5</v>
      </c>
      <c r="Q24" s="117"/>
      <c r="R24" s="112"/>
    </row>
    <row r="25" spans="1:18" x14ac:dyDescent="0.2">
      <c r="A25" s="111"/>
      <c r="B25" s="115">
        <v>82</v>
      </c>
      <c r="C25" s="116" t="s">
        <v>721</v>
      </c>
      <c r="D25" s="119">
        <v>40.6</v>
      </c>
      <c r="E25" s="116"/>
      <c r="F25" s="119">
        <v>5316</v>
      </c>
      <c r="G25" s="116"/>
      <c r="H25" s="120">
        <f>(F25*'הגדרות כלליות'!$D$20/4)</f>
        <v>1329</v>
      </c>
      <c r="I25" s="116"/>
      <c r="J25" s="119">
        <v>38.340000000000003</v>
      </c>
      <c r="K25" s="116"/>
      <c r="L25" s="119">
        <v>1370</v>
      </c>
      <c r="M25" s="116"/>
      <c r="N25" s="120">
        <f t="shared" si="2"/>
        <v>2.259999999999998</v>
      </c>
      <c r="O25" s="116"/>
      <c r="P25" s="120">
        <f t="shared" si="3"/>
        <v>-41</v>
      </c>
      <c r="Q25" s="117"/>
      <c r="R25" s="112"/>
    </row>
    <row r="26" spans="1:18" x14ac:dyDescent="0.2">
      <c r="A26" s="111"/>
      <c r="B26" s="115">
        <v>83</v>
      </c>
      <c r="C26" s="116" t="s">
        <v>722</v>
      </c>
      <c r="D26" s="178">
        <v>2.7</v>
      </c>
      <c r="E26" s="116"/>
      <c r="F26" s="119">
        <v>459</v>
      </c>
      <c r="G26" s="116"/>
      <c r="H26" s="120">
        <f>(F26*'הגדרות כלליות'!$D$20/4)</f>
        <v>114.75</v>
      </c>
      <c r="I26" s="116"/>
      <c r="J26" s="178">
        <v>2.9</v>
      </c>
      <c r="K26" s="116"/>
      <c r="L26" s="119">
        <v>106</v>
      </c>
      <c r="M26" s="116"/>
      <c r="N26" s="120">
        <f t="shared" si="2"/>
        <v>-0.19999999999999973</v>
      </c>
      <c r="O26" s="116"/>
      <c r="P26" s="120">
        <f t="shared" si="3"/>
        <v>8.75</v>
      </c>
      <c r="Q26" s="117"/>
      <c r="R26" s="112"/>
    </row>
    <row r="27" spans="1:18" x14ac:dyDescent="0.2">
      <c r="A27" s="111"/>
      <c r="B27" s="115">
        <v>84</v>
      </c>
      <c r="C27" s="116" t="s">
        <v>723</v>
      </c>
      <c r="D27" s="119">
        <v>11.2</v>
      </c>
      <c r="E27" s="116"/>
      <c r="F27" s="119">
        <v>2210</v>
      </c>
      <c r="G27" s="116"/>
      <c r="H27" s="120">
        <f>(F27*'הגדרות כלליות'!$D$20/4)</f>
        <v>552.5</v>
      </c>
      <c r="I27" s="116"/>
      <c r="J27" s="119">
        <v>11.11</v>
      </c>
      <c r="K27" s="116"/>
      <c r="L27" s="119">
        <v>511</v>
      </c>
      <c r="M27" s="116"/>
      <c r="N27" s="120">
        <f t="shared" si="2"/>
        <v>8.9999999999999858E-2</v>
      </c>
      <c r="O27" s="116"/>
      <c r="P27" s="120">
        <f t="shared" si="3"/>
        <v>41.5</v>
      </c>
      <c r="Q27" s="117"/>
      <c r="R27" s="112"/>
    </row>
    <row r="28" spans="1:18" x14ac:dyDescent="0.2">
      <c r="A28" s="111"/>
      <c r="B28" s="115">
        <v>85</v>
      </c>
      <c r="C28" s="116" t="s">
        <v>724</v>
      </c>
      <c r="D28" s="119"/>
      <c r="E28" s="116"/>
      <c r="F28" s="119"/>
      <c r="G28" s="116"/>
      <c r="H28" s="120">
        <f>(F28*'הגדרות כלליות'!$D$20/4)</f>
        <v>0</v>
      </c>
      <c r="I28" s="116"/>
      <c r="J28" s="119"/>
      <c r="K28" s="116"/>
      <c r="L28" s="119"/>
      <c r="M28" s="116"/>
      <c r="N28" s="120">
        <f t="shared" si="2"/>
        <v>0</v>
      </c>
      <c r="O28" s="116"/>
      <c r="P28" s="120">
        <f t="shared" si="3"/>
        <v>0</v>
      </c>
      <c r="Q28" s="117"/>
      <c r="R28" s="112"/>
    </row>
    <row r="29" spans="1:18" x14ac:dyDescent="0.2">
      <c r="A29" s="111"/>
      <c r="B29" s="115">
        <v>86</v>
      </c>
      <c r="C29" s="116" t="s">
        <v>725</v>
      </c>
      <c r="D29" s="119">
        <v>1.6</v>
      </c>
      <c r="E29" s="116"/>
      <c r="F29" s="119">
        <v>240</v>
      </c>
      <c r="G29" s="116"/>
      <c r="H29" s="120">
        <f>(F29*'הגדרות כלליות'!$D$20/4)</f>
        <v>60</v>
      </c>
      <c r="I29" s="116"/>
      <c r="J29" s="119">
        <v>1</v>
      </c>
      <c r="K29" s="116"/>
      <c r="L29" s="119">
        <v>41</v>
      </c>
      <c r="M29" s="116"/>
      <c r="N29" s="120">
        <f t="shared" si="2"/>
        <v>0.60000000000000009</v>
      </c>
      <c r="O29" s="116"/>
      <c r="P29" s="120">
        <f t="shared" si="3"/>
        <v>19</v>
      </c>
      <c r="Q29" s="117"/>
      <c r="R29" s="112"/>
    </row>
    <row r="30" spans="1:18" x14ac:dyDescent="0.2">
      <c r="A30" s="111"/>
      <c r="B30" s="115">
        <v>87</v>
      </c>
      <c r="C30" s="116" t="s">
        <v>726</v>
      </c>
      <c r="D30" s="119"/>
      <c r="E30" s="116"/>
      <c r="F30" s="119"/>
      <c r="G30" s="116"/>
      <c r="H30" s="120">
        <f>(F30*'הגדרות כלליות'!$D$20/4)</f>
        <v>0</v>
      </c>
      <c r="I30" s="116"/>
      <c r="J30" s="119"/>
      <c r="K30" s="116"/>
      <c r="L30" s="119"/>
      <c r="M30" s="116"/>
      <c r="N30" s="120">
        <f t="shared" si="2"/>
        <v>0</v>
      </c>
      <c r="O30" s="116"/>
      <c r="P30" s="120">
        <f t="shared" si="3"/>
        <v>0</v>
      </c>
      <c r="Q30" s="117"/>
      <c r="R30" s="112"/>
    </row>
    <row r="31" spans="1:18" x14ac:dyDescent="0.2">
      <c r="A31" s="111"/>
      <c r="B31" s="115"/>
      <c r="C31" s="116" t="s">
        <v>727</v>
      </c>
      <c r="D31" s="193">
        <f>SUM(D24:D30)</f>
        <v>228.19999999999996</v>
      </c>
      <c r="E31" s="195"/>
      <c r="F31" s="193">
        <f>SUM(F24:F30)</f>
        <v>41931</v>
      </c>
      <c r="G31" s="116"/>
      <c r="H31" s="193">
        <f>(F31*'הגדרות כלליות'!$D$20/4)</f>
        <v>10482.75</v>
      </c>
      <c r="I31" s="195"/>
      <c r="J31" s="193">
        <f>SUM(J24:J30)</f>
        <v>223.57999999999998</v>
      </c>
      <c r="K31" s="195"/>
      <c r="L31" s="193">
        <f>SUM(L24:L30)</f>
        <v>9875</v>
      </c>
      <c r="M31" s="195"/>
      <c r="N31" s="193">
        <f>SUM(N24:N30)</f>
        <v>4.6200000000000028</v>
      </c>
      <c r="O31" s="116"/>
      <c r="P31" s="193">
        <f>SUM(P24:P30)</f>
        <v>607.75</v>
      </c>
      <c r="Q31" s="117"/>
      <c r="R31" s="112"/>
    </row>
    <row r="32" spans="1:18" x14ac:dyDescent="0.2">
      <c r="A32" s="111"/>
      <c r="B32" s="115">
        <v>9</v>
      </c>
      <c r="C32" s="191" t="s">
        <v>728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7"/>
      <c r="R32" s="112"/>
    </row>
    <row r="33" spans="1:18" x14ac:dyDescent="0.2">
      <c r="A33" s="111"/>
      <c r="B33" s="115">
        <v>91</v>
      </c>
      <c r="C33" s="116" t="s">
        <v>729</v>
      </c>
      <c r="D33" s="119"/>
      <c r="E33" s="116"/>
      <c r="F33" s="119"/>
      <c r="G33" s="116"/>
      <c r="H33" s="120">
        <f>(F33*'הגדרות כלליות'!$D$20/4)</f>
        <v>0</v>
      </c>
      <c r="I33" s="116"/>
      <c r="J33" s="119"/>
      <c r="K33" s="116"/>
      <c r="L33" s="119"/>
      <c r="M33" s="116"/>
      <c r="N33" s="120">
        <f>D33-J33</f>
        <v>0</v>
      </c>
      <c r="O33" s="116"/>
      <c r="P33" s="120">
        <f>H33-L33</f>
        <v>0</v>
      </c>
      <c r="Q33" s="117"/>
      <c r="R33" s="112"/>
    </row>
    <row r="34" spans="1:18" x14ac:dyDescent="0.2">
      <c r="A34" s="111"/>
      <c r="B34" s="115">
        <v>92</v>
      </c>
      <c r="C34" s="116" t="s">
        <v>730</v>
      </c>
      <c r="D34" s="119"/>
      <c r="E34" s="116"/>
      <c r="F34" s="119"/>
      <c r="G34" s="116"/>
      <c r="H34" s="120">
        <f>(F34*'הגדרות כלליות'!$D$20/4)</f>
        <v>0</v>
      </c>
      <c r="I34" s="116"/>
      <c r="J34" s="119"/>
      <c r="K34" s="116"/>
      <c r="L34" s="119"/>
      <c r="M34" s="116"/>
      <c r="N34" s="120">
        <f>D34-J34</f>
        <v>0</v>
      </c>
      <c r="O34" s="116"/>
      <c r="P34" s="120">
        <f>H34-L34</f>
        <v>0</v>
      </c>
      <c r="Q34" s="117"/>
      <c r="R34" s="112"/>
    </row>
    <row r="35" spans="1:18" x14ac:dyDescent="0.2">
      <c r="A35" s="111"/>
      <c r="B35" s="115">
        <v>93</v>
      </c>
      <c r="C35" s="192" t="s">
        <v>591</v>
      </c>
      <c r="D35" s="119">
        <v>1</v>
      </c>
      <c r="E35" s="116"/>
      <c r="F35" s="119">
        <v>220</v>
      </c>
      <c r="G35" s="116"/>
      <c r="H35" s="120">
        <f>(F35*'הגדרות כלליות'!$D$20/4)</f>
        <v>55</v>
      </c>
      <c r="I35" s="116"/>
      <c r="J35" s="119">
        <v>1</v>
      </c>
      <c r="K35" s="116"/>
      <c r="L35" s="119">
        <v>49</v>
      </c>
      <c r="M35" s="116"/>
      <c r="N35" s="120">
        <f>D35-J35</f>
        <v>0</v>
      </c>
      <c r="O35" s="116"/>
      <c r="P35" s="120">
        <f>H35-L35</f>
        <v>6</v>
      </c>
      <c r="Q35" s="117"/>
      <c r="R35" s="112"/>
    </row>
    <row r="36" spans="1:18" x14ac:dyDescent="0.2">
      <c r="A36" s="111"/>
      <c r="B36" s="115">
        <v>94</v>
      </c>
      <c r="C36" s="116" t="s">
        <v>731</v>
      </c>
      <c r="D36" s="119">
        <v>12</v>
      </c>
      <c r="E36" s="116"/>
      <c r="F36" s="119">
        <v>2360</v>
      </c>
      <c r="G36" s="116"/>
      <c r="H36" s="120">
        <f>(F36*'הגדרות כלליות'!$D$20/4)</f>
        <v>590</v>
      </c>
      <c r="I36" s="116"/>
      <c r="J36" s="119">
        <v>11.69</v>
      </c>
      <c r="K36" s="116"/>
      <c r="L36" s="119">
        <v>538</v>
      </c>
      <c r="M36" s="116"/>
      <c r="N36" s="120">
        <f>D36-J36</f>
        <v>0.3100000000000005</v>
      </c>
      <c r="O36" s="116"/>
      <c r="P36" s="120">
        <f>H36-L36</f>
        <v>52</v>
      </c>
      <c r="Q36" s="117"/>
      <c r="R36" s="112"/>
    </row>
    <row r="37" spans="1:18" x14ac:dyDescent="0.2">
      <c r="A37" s="111"/>
      <c r="B37" s="115">
        <v>97</v>
      </c>
      <c r="C37" s="116" t="s">
        <v>732</v>
      </c>
      <c r="D37" s="119">
        <v>1</v>
      </c>
      <c r="E37" s="116"/>
      <c r="F37" s="119">
        <v>130</v>
      </c>
      <c r="G37" s="116"/>
      <c r="H37" s="120">
        <f>(F37*'הגדרות כלליות'!$D$20/4)</f>
        <v>32.5</v>
      </c>
      <c r="I37" s="116"/>
      <c r="J37" s="119">
        <v>0.54</v>
      </c>
      <c r="K37" s="116"/>
      <c r="L37" s="119">
        <v>36</v>
      </c>
      <c r="M37" s="116"/>
      <c r="N37" s="120">
        <f>D37-J37</f>
        <v>0.45999999999999996</v>
      </c>
      <c r="O37" s="116"/>
      <c r="P37" s="120">
        <f>H37-L37</f>
        <v>-3.5</v>
      </c>
      <c r="Q37" s="117"/>
      <c r="R37" s="112"/>
    </row>
    <row r="38" spans="1:18" x14ac:dyDescent="0.2">
      <c r="A38" s="111"/>
      <c r="B38" s="115">
        <v>98</v>
      </c>
      <c r="C38" s="192" t="s">
        <v>823</v>
      </c>
      <c r="D38" s="119"/>
      <c r="E38" s="116"/>
      <c r="F38" s="119"/>
      <c r="G38" s="116"/>
      <c r="H38" s="120"/>
      <c r="I38" s="116"/>
      <c r="J38" s="119"/>
      <c r="K38" s="116"/>
      <c r="L38" s="119"/>
      <c r="M38" s="116"/>
      <c r="N38" s="120"/>
      <c r="O38" s="116"/>
      <c r="P38" s="120"/>
      <c r="Q38" s="117"/>
      <c r="R38" s="112"/>
    </row>
    <row r="39" spans="1:18" x14ac:dyDescent="0.2">
      <c r="A39" s="111"/>
      <c r="B39" s="115"/>
      <c r="C39" s="116" t="s">
        <v>733</v>
      </c>
      <c r="D39" s="193">
        <f>SUM(D33:D38)</f>
        <v>14</v>
      </c>
      <c r="E39" s="195"/>
      <c r="F39" s="193">
        <f>SUM(F33:F38)</f>
        <v>2710</v>
      </c>
      <c r="G39" s="116"/>
      <c r="H39" s="193">
        <f>(F39*'הגדרות כלליות'!$D$20/4)</f>
        <v>677.5</v>
      </c>
      <c r="I39" s="195"/>
      <c r="J39" s="193">
        <f>SUM(J33:J38)</f>
        <v>13.23</v>
      </c>
      <c r="K39" s="195"/>
      <c r="L39" s="193">
        <f>SUM(L33:L38)</f>
        <v>623</v>
      </c>
      <c r="M39" s="195"/>
      <c r="N39" s="193">
        <f>SUM(N33:N38)</f>
        <v>0.77000000000000046</v>
      </c>
      <c r="O39" s="116"/>
      <c r="P39" s="193">
        <f>SUM(P33:P38)</f>
        <v>54.5</v>
      </c>
      <c r="Q39" s="117"/>
      <c r="R39" s="112"/>
    </row>
    <row r="40" spans="1:18" ht="6.75" customHeight="1" x14ac:dyDescent="0.2">
      <c r="A40" s="111"/>
      <c r="B40" s="115"/>
      <c r="C40" s="191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7"/>
      <c r="R40" s="112"/>
    </row>
    <row r="41" spans="1:18" x14ac:dyDescent="0.2">
      <c r="A41" s="111"/>
      <c r="B41" s="115"/>
      <c r="C41" s="192" t="s">
        <v>735</v>
      </c>
      <c r="D41" s="119">
        <v>37.5</v>
      </c>
      <c r="E41" s="116"/>
      <c r="F41" s="119">
        <v>5272</v>
      </c>
      <c r="G41" s="116"/>
      <c r="H41" s="120">
        <f>(F41*'הגדרות כלליות'!$D$20/4)</f>
        <v>1318</v>
      </c>
      <c r="I41" s="116"/>
      <c r="J41" s="119">
        <v>34.67</v>
      </c>
      <c r="K41" s="116"/>
      <c r="L41" s="119">
        <v>1435</v>
      </c>
      <c r="M41" s="116"/>
      <c r="N41" s="120">
        <f>D41-J41</f>
        <v>2.8299999999999983</v>
      </c>
      <c r="O41" s="116"/>
      <c r="P41" s="120">
        <f>H41-L41</f>
        <v>-117</v>
      </c>
      <c r="Q41" s="117"/>
      <c r="R41" s="112"/>
    </row>
    <row r="42" spans="1:18" ht="6" customHeight="1" x14ac:dyDescent="0.2">
      <c r="A42" s="111"/>
      <c r="B42" s="115"/>
      <c r="C42" s="191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7"/>
      <c r="R42" s="112"/>
    </row>
    <row r="43" spans="1:18" ht="13.5" thickBot="1" x14ac:dyDescent="0.25">
      <c r="A43" s="111"/>
      <c r="B43" s="115"/>
      <c r="C43" s="196" t="s">
        <v>734</v>
      </c>
      <c r="D43" s="197">
        <f>D13+D22+D31+D39+D41</f>
        <v>323.09999999999997</v>
      </c>
      <c r="E43" s="195"/>
      <c r="F43" s="197">
        <f>F13+F22+F31+F39+F41</f>
        <v>60205</v>
      </c>
      <c r="G43" s="116"/>
      <c r="H43" s="197">
        <f>(F43*'הגדרות כלליות'!$D$20/4)</f>
        <v>15051.25</v>
      </c>
      <c r="I43" s="116"/>
      <c r="J43" s="197">
        <f>J13+J22+J31+J39+J41</f>
        <v>312.63</v>
      </c>
      <c r="K43" s="116"/>
      <c r="L43" s="197">
        <f>L13+L22+L31+L39+L41</f>
        <v>14440</v>
      </c>
      <c r="M43" s="116"/>
      <c r="N43" s="197">
        <f>D43-J43</f>
        <v>10.46999999999997</v>
      </c>
      <c r="O43" s="116"/>
      <c r="P43" s="197">
        <f>H43-L43</f>
        <v>611.25</v>
      </c>
      <c r="Q43" s="117"/>
      <c r="R43" s="112"/>
    </row>
    <row r="44" spans="1:18" ht="27" customHeight="1" thickTop="1" x14ac:dyDescent="0.2">
      <c r="A44" s="111"/>
      <c r="B44" s="115"/>
      <c r="C44" s="191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7"/>
      <c r="R44" s="112"/>
    </row>
    <row r="45" spans="1:18" ht="15" x14ac:dyDescent="0.2">
      <c r="A45" s="111"/>
      <c r="B45" s="115"/>
      <c r="C45" s="497" t="s">
        <v>181</v>
      </c>
      <c r="D45" s="649" t="str">
        <f>CONCATENATE("תקציב ",Shana)</f>
        <v>תקציב 2017</v>
      </c>
      <c r="E45" s="649"/>
      <c r="F45" s="649"/>
      <c r="G45" s="649"/>
      <c r="H45" s="649"/>
      <c r="I45" s="496"/>
      <c r="J45" s="649" t="str">
        <f>CONCATENATE(" ביצוע בפועל ",Shana)</f>
        <v xml:space="preserve"> ביצוע בפועל 2017</v>
      </c>
      <c r="K45" s="649"/>
      <c r="L45" s="649"/>
      <c r="M45" s="649"/>
      <c r="N45" s="649"/>
      <c r="O45" s="496"/>
      <c r="P45" s="506" t="s">
        <v>182</v>
      </c>
      <c r="Q45" s="117"/>
      <c r="R45" s="112"/>
    </row>
    <row r="46" spans="1:18" ht="25.5" x14ac:dyDescent="0.2">
      <c r="A46" s="111"/>
      <c r="B46" s="115"/>
      <c r="C46" s="498"/>
      <c r="D46" s="516" t="s">
        <v>185</v>
      </c>
      <c r="E46" s="517"/>
      <c r="F46" s="516" t="s">
        <v>186</v>
      </c>
      <c r="G46" s="517"/>
      <c r="H46" s="516" t="s">
        <v>187</v>
      </c>
      <c r="I46" s="517"/>
      <c r="J46" s="516" t="s">
        <v>185</v>
      </c>
      <c r="K46" s="517"/>
      <c r="L46" s="516" t="s">
        <v>186</v>
      </c>
      <c r="M46" s="517"/>
      <c r="N46" s="516" t="s">
        <v>187</v>
      </c>
      <c r="O46" s="491"/>
      <c r="P46" s="499"/>
      <c r="Q46" s="117"/>
      <c r="R46" s="112"/>
    </row>
    <row r="47" spans="1:18" ht="6" customHeight="1" x14ac:dyDescent="0.2">
      <c r="A47" s="111"/>
      <c r="B47" s="115"/>
      <c r="C47" s="498"/>
      <c r="D47" s="492"/>
      <c r="E47" s="491"/>
      <c r="F47" s="492"/>
      <c r="G47" s="491"/>
      <c r="H47" s="492"/>
      <c r="I47" s="491"/>
      <c r="J47" s="491"/>
      <c r="K47" s="491"/>
      <c r="L47" s="491"/>
      <c r="M47" s="491"/>
      <c r="N47" s="491"/>
      <c r="O47" s="491"/>
      <c r="P47" s="499"/>
      <c r="Q47" s="117"/>
      <c r="R47" s="112"/>
    </row>
    <row r="48" spans="1:18" x14ac:dyDescent="0.2">
      <c r="A48" s="111"/>
      <c r="B48" s="115"/>
      <c r="C48" s="500" t="s">
        <v>183</v>
      </c>
      <c r="D48" s="493"/>
      <c r="E48" s="491"/>
      <c r="F48" s="493"/>
      <c r="G48" s="491"/>
      <c r="H48" s="493"/>
      <c r="I48" s="491"/>
      <c r="J48" s="493"/>
      <c r="K48" s="491"/>
      <c r="L48" s="493"/>
      <c r="M48" s="491"/>
      <c r="N48" s="493"/>
      <c r="O48" s="491"/>
      <c r="P48" s="501">
        <f>F48-L48</f>
        <v>0</v>
      </c>
      <c r="Q48" s="117"/>
      <c r="R48" s="112"/>
    </row>
    <row r="49" spans="1:18" x14ac:dyDescent="0.2">
      <c r="A49" s="111"/>
      <c r="B49" s="115"/>
      <c r="C49" s="500" t="s">
        <v>184</v>
      </c>
      <c r="D49" s="493"/>
      <c r="E49" s="491"/>
      <c r="F49" s="493"/>
      <c r="G49" s="491"/>
      <c r="H49" s="508"/>
      <c r="I49" s="491"/>
      <c r="J49" s="493"/>
      <c r="K49" s="491"/>
      <c r="L49" s="493"/>
      <c r="M49" s="491"/>
      <c r="N49" s="508"/>
      <c r="O49" s="491"/>
      <c r="P49" s="501">
        <f>F49-L49</f>
        <v>0</v>
      </c>
      <c r="Q49" s="117"/>
      <c r="R49" s="112"/>
    </row>
    <row r="50" spans="1:18" ht="3.75" customHeight="1" x14ac:dyDescent="0.2">
      <c r="A50" s="111"/>
      <c r="B50" s="115"/>
      <c r="C50" s="502"/>
      <c r="D50" s="491"/>
      <c r="E50" s="491"/>
      <c r="F50" s="491"/>
      <c r="G50" s="491"/>
      <c r="H50" s="491"/>
      <c r="I50" s="491"/>
      <c r="J50" s="491"/>
      <c r="K50" s="491"/>
      <c r="L50" s="491"/>
      <c r="M50" s="491"/>
      <c r="N50" s="491"/>
      <c r="O50" s="491"/>
      <c r="P50" s="499"/>
      <c r="Q50" s="117"/>
      <c r="R50" s="112"/>
    </row>
    <row r="51" spans="1:18" ht="13.5" thickBot="1" x14ac:dyDescent="0.25">
      <c r="A51" s="111"/>
      <c r="B51" s="115"/>
      <c r="C51" s="503" t="s">
        <v>766</v>
      </c>
      <c r="D51" s="507">
        <f>SUM(D48:D49)</f>
        <v>0</v>
      </c>
      <c r="E51" s="495"/>
      <c r="F51" s="494">
        <f>SUM(F48:F49)</f>
        <v>0</v>
      </c>
      <c r="G51" s="491"/>
      <c r="H51" s="494">
        <f>SUM(H48:H49)</f>
        <v>0</v>
      </c>
      <c r="I51" s="491"/>
      <c r="J51" s="494">
        <f>SUM(J48:J49)</f>
        <v>0</v>
      </c>
      <c r="K51" s="491"/>
      <c r="L51" s="494">
        <f>SUM(L48:L49)</f>
        <v>0</v>
      </c>
      <c r="M51" s="491"/>
      <c r="N51" s="494">
        <f>SUM(N48:N49)</f>
        <v>0</v>
      </c>
      <c r="O51" s="491"/>
      <c r="P51" s="504">
        <f>SUM(P48:P49)</f>
        <v>0</v>
      </c>
      <c r="Q51" s="117"/>
      <c r="R51" s="112"/>
    </row>
    <row r="52" spans="1:18" ht="3.75" customHeight="1" thickTop="1" x14ac:dyDescent="0.2">
      <c r="A52" s="111"/>
      <c r="B52" s="115"/>
      <c r="C52" s="502"/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9"/>
      <c r="Q52" s="117"/>
      <c r="R52" s="112"/>
    </row>
    <row r="53" spans="1:18" x14ac:dyDescent="0.2">
      <c r="A53" s="111"/>
      <c r="B53" s="115"/>
      <c r="C53" s="505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441"/>
      <c r="Q53" s="117"/>
      <c r="R53" s="112"/>
    </row>
    <row r="54" spans="1:18" x14ac:dyDescent="0.2">
      <c r="A54" s="111"/>
      <c r="B54" s="126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80"/>
      <c r="R54" s="112"/>
    </row>
    <row r="55" spans="1:18" x14ac:dyDescent="0.2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2"/>
    </row>
    <row r="56" spans="1:18" ht="13.5" thickBot="1" x14ac:dyDescent="0.25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9"/>
    </row>
    <row r="57" spans="1:18" ht="13.5" thickTop="1" x14ac:dyDescent="0.2"/>
    <row r="305" spans="2:17" ht="15.75" customHeight="1" x14ac:dyDescent="0.2">
      <c r="B305" s="637" t="str">
        <f>D1</f>
        <v>מ"א עמק הירדן</v>
      </c>
      <c r="C305" s="637"/>
      <c r="D305" s="637"/>
      <c r="E305" s="637"/>
      <c r="F305" s="637"/>
      <c r="G305" s="637"/>
      <c r="H305" s="637"/>
      <c r="I305" s="637"/>
      <c r="J305" s="637"/>
      <c r="K305" s="637"/>
      <c r="L305" s="637"/>
      <c r="M305" s="637"/>
      <c r="N305" s="637"/>
      <c r="O305" s="637"/>
      <c r="P305" s="637"/>
      <c r="Q305" s="130"/>
    </row>
    <row r="306" spans="2:17" ht="15.75" customHeight="1" x14ac:dyDescent="0.2">
      <c r="B306" s="637" t="str">
        <f>D2</f>
        <v>שכר ומשרות לפי פרקי תקציב</v>
      </c>
      <c r="C306" s="637"/>
      <c r="D306" s="637"/>
      <c r="E306" s="637"/>
      <c r="F306" s="637"/>
      <c r="G306" s="637"/>
      <c r="H306" s="637"/>
      <c r="I306" s="637"/>
      <c r="J306" s="637"/>
      <c r="K306" s="637"/>
      <c r="L306" s="637"/>
      <c r="M306" s="637"/>
      <c r="N306" s="637"/>
      <c r="O306" s="637"/>
      <c r="P306" s="637"/>
      <c r="Q306" s="130"/>
    </row>
    <row r="307" spans="2:17" ht="18" x14ac:dyDescent="0.2">
      <c r="B307" s="637" t="str">
        <f>D3</f>
        <v>לתקופה: רבעון 1, שנת 2017</v>
      </c>
      <c r="C307" s="637"/>
      <c r="D307" s="637"/>
      <c r="E307" s="637"/>
      <c r="F307" s="637"/>
      <c r="G307" s="637"/>
      <c r="H307" s="637"/>
      <c r="I307" s="637"/>
      <c r="J307" s="637"/>
      <c r="K307" s="637"/>
      <c r="L307" s="637"/>
      <c r="M307" s="637"/>
      <c r="N307" s="637"/>
      <c r="O307" s="637"/>
      <c r="P307" s="637"/>
      <c r="Q307" s="198"/>
    </row>
    <row r="308" spans="2:17" ht="3" customHeight="1" x14ac:dyDescent="0.2"/>
    <row r="309" spans="2:17" ht="4.5" customHeight="1" x14ac:dyDescent="0.2"/>
    <row r="310" spans="2:17" ht="4.5" customHeight="1" x14ac:dyDescent="0.2"/>
    <row r="311" spans="2:17" x14ac:dyDescent="0.2">
      <c r="B311" s="132">
        <f t="shared" ref="B311:F326" si="4">B6</f>
        <v>0</v>
      </c>
      <c r="C311" s="132">
        <f t="shared" si="4"/>
        <v>0</v>
      </c>
      <c r="D311" s="650" t="str">
        <f t="shared" si="4"/>
        <v>תקציב 2017</v>
      </c>
      <c r="E311" s="650">
        <f t="shared" si="4"/>
        <v>0</v>
      </c>
      <c r="F311" s="650">
        <f t="shared" si="4"/>
        <v>0</v>
      </c>
      <c r="G311" s="132"/>
      <c r="H311" s="132">
        <f t="shared" ref="H311:Q326" si="5">H6</f>
        <v>0</v>
      </c>
      <c r="I311" s="132">
        <f t="shared" si="5"/>
        <v>0</v>
      </c>
      <c r="J311" s="650" t="str">
        <f t="shared" si="5"/>
        <v>ביצוע בפועל 2017</v>
      </c>
      <c r="K311" s="650">
        <f t="shared" si="5"/>
        <v>0</v>
      </c>
      <c r="L311" s="650">
        <f t="shared" si="5"/>
        <v>0</v>
      </c>
      <c r="M311" s="132">
        <f t="shared" si="5"/>
        <v>0</v>
      </c>
      <c r="N311" s="650" t="str">
        <f t="shared" si="5"/>
        <v>הפרש</v>
      </c>
      <c r="O311" s="650">
        <f t="shared" si="5"/>
        <v>0</v>
      </c>
      <c r="P311" s="650">
        <f t="shared" si="5"/>
        <v>0</v>
      </c>
      <c r="Q311" s="132">
        <f t="shared" si="5"/>
        <v>0</v>
      </c>
    </row>
    <row r="312" spans="2:17" ht="39" customHeight="1" x14ac:dyDescent="0.2">
      <c r="B312" s="132" t="str">
        <f t="shared" si="4"/>
        <v>מס'</v>
      </c>
      <c r="C312" s="132" t="str">
        <f t="shared" si="4"/>
        <v>שם הפרק</v>
      </c>
      <c r="D312" s="132" t="str">
        <f t="shared" si="4"/>
        <v>מספר משרות</v>
      </c>
      <c r="E312" s="132">
        <f t="shared" si="4"/>
        <v>0</v>
      </c>
      <c r="F312" s="132" t="str">
        <f t="shared" si="4"/>
        <v>עלויות שכר</v>
      </c>
      <c r="G312" s="132"/>
      <c r="H312" s="132" t="str">
        <f t="shared" si="5"/>
        <v>עלות יחסית לתקופת הדוח</v>
      </c>
      <c r="I312" s="132">
        <f t="shared" si="5"/>
        <v>0</v>
      </c>
      <c r="J312" s="132" t="str">
        <f t="shared" si="5"/>
        <v>מס' משרות לפי דוח 66</v>
      </c>
      <c r="K312" s="132">
        <f t="shared" si="5"/>
        <v>0</v>
      </c>
      <c r="L312" s="132" t="str">
        <f t="shared" si="5"/>
        <v>עלויות שכר - לפי דוח 66</v>
      </c>
      <c r="M312" s="132">
        <f t="shared" si="5"/>
        <v>0</v>
      </c>
      <c r="N312" s="132" t="str">
        <f t="shared" si="5"/>
        <v>מספר משרות</v>
      </c>
      <c r="O312" s="132">
        <f t="shared" si="5"/>
        <v>0</v>
      </c>
      <c r="P312" s="132" t="str">
        <f t="shared" si="5"/>
        <v>עלויות שכר</v>
      </c>
      <c r="Q312" s="132">
        <f t="shared" si="5"/>
        <v>0</v>
      </c>
    </row>
    <row r="313" spans="2:17" ht="9.75" customHeight="1" x14ac:dyDescent="0.2">
      <c r="B313" s="133">
        <f t="shared" si="4"/>
        <v>0</v>
      </c>
      <c r="C313" s="134">
        <f t="shared" si="4"/>
        <v>0</v>
      </c>
      <c r="D313" s="134">
        <f t="shared" si="4"/>
        <v>0</v>
      </c>
      <c r="E313" s="134">
        <f t="shared" si="4"/>
        <v>0</v>
      </c>
      <c r="F313" s="134">
        <f t="shared" si="4"/>
        <v>0</v>
      </c>
      <c r="G313" s="134"/>
      <c r="H313" s="134">
        <f t="shared" si="5"/>
        <v>0</v>
      </c>
      <c r="I313" s="134">
        <f t="shared" si="5"/>
        <v>0</v>
      </c>
      <c r="J313" s="134">
        <f t="shared" si="5"/>
        <v>0</v>
      </c>
      <c r="K313" s="134">
        <f t="shared" si="5"/>
        <v>0</v>
      </c>
      <c r="L313" s="134">
        <f t="shared" si="5"/>
        <v>0</v>
      </c>
      <c r="M313" s="134">
        <f t="shared" si="5"/>
        <v>0</v>
      </c>
      <c r="N313" s="134">
        <f t="shared" si="5"/>
        <v>0</v>
      </c>
      <c r="O313" s="134">
        <f t="shared" si="5"/>
        <v>0</v>
      </c>
      <c r="P313" s="134">
        <f t="shared" si="5"/>
        <v>0</v>
      </c>
      <c r="Q313" s="135">
        <f t="shared" si="5"/>
        <v>0</v>
      </c>
    </row>
    <row r="314" spans="2:17" x14ac:dyDescent="0.2">
      <c r="B314" s="133">
        <f t="shared" si="4"/>
        <v>6</v>
      </c>
      <c r="C314" s="199" t="str">
        <f t="shared" si="4"/>
        <v>הנהלה וכלליות</v>
      </c>
      <c r="D314" s="134">
        <f t="shared" si="4"/>
        <v>0</v>
      </c>
      <c r="E314" s="134">
        <f t="shared" si="4"/>
        <v>0</v>
      </c>
      <c r="F314" s="134">
        <f t="shared" si="4"/>
        <v>0</v>
      </c>
      <c r="G314" s="134"/>
      <c r="H314" s="134">
        <f t="shared" si="5"/>
        <v>0</v>
      </c>
      <c r="I314" s="134">
        <f t="shared" si="5"/>
        <v>0</v>
      </c>
      <c r="J314" s="134">
        <f t="shared" si="5"/>
        <v>0</v>
      </c>
      <c r="K314" s="134">
        <f t="shared" si="5"/>
        <v>0</v>
      </c>
      <c r="L314" s="134">
        <f t="shared" si="5"/>
        <v>0</v>
      </c>
      <c r="M314" s="134">
        <f t="shared" si="5"/>
        <v>0</v>
      </c>
      <c r="N314" s="134">
        <f t="shared" si="5"/>
        <v>0</v>
      </c>
      <c r="O314" s="134">
        <f t="shared" si="5"/>
        <v>0</v>
      </c>
      <c r="P314" s="134">
        <f t="shared" si="5"/>
        <v>0</v>
      </c>
      <c r="Q314" s="135">
        <f t="shared" si="5"/>
        <v>0</v>
      </c>
    </row>
    <row r="315" spans="2:17" x14ac:dyDescent="0.2">
      <c r="B315" s="133">
        <f t="shared" si="4"/>
        <v>61</v>
      </c>
      <c r="C315" s="134" t="str">
        <f t="shared" si="4"/>
        <v>נבחרים</v>
      </c>
      <c r="D315" s="137">
        <f t="shared" si="4"/>
        <v>1</v>
      </c>
      <c r="E315" s="134">
        <f t="shared" si="4"/>
        <v>0</v>
      </c>
      <c r="F315" s="137">
        <f t="shared" si="4"/>
        <v>660</v>
      </c>
      <c r="G315" s="137"/>
      <c r="H315" s="137">
        <f t="shared" si="5"/>
        <v>165</v>
      </c>
      <c r="I315" s="134">
        <f t="shared" si="5"/>
        <v>0</v>
      </c>
      <c r="J315" s="137">
        <f t="shared" si="5"/>
        <v>1</v>
      </c>
      <c r="K315" s="134">
        <f t="shared" si="5"/>
        <v>0</v>
      </c>
      <c r="L315" s="137">
        <f t="shared" si="5"/>
        <v>165</v>
      </c>
      <c r="M315" s="134">
        <f t="shared" si="5"/>
        <v>0</v>
      </c>
      <c r="N315" s="138">
        <f t="shared" si="5"/>
        <v>0</v>
      </c>
      <c r="O315" s="134">
        <f t="shared" si="5"/>
        <v>0</v>
      </c>
      <c r="P315" s="138">
        <f t="shared" si="5"/>
        <v>0</v>
      </c>
      <c r="Q315" s="135">
        <f t="shared" si="5"/>
        <v>0</v>
      </c>
    </row>
    <row r="316" spans="2:17" x14ac:dyDescent="0.2">
      <c r="B316" s="133">
        <f t="shared" si="4"/>
        <v>61</v>
      </c>
      <c r="C316" s="134" t="str">
        <f t="shared" si="4"/>
        <v>מנהל כללי</v>
      </c>
      <c r="D316" s="140">
        <f t="shared" si="4"/>
        <v>9.5</v>
      </c>
      <c r="E316" s="134">
        <f t="shared" si="4"/>
        <v>0</v>
      </c>
      <c r="F316" s="140">
        <f t="shared" si="4"/>
        <v>1720</v>
      </c>
      <c r="G316" s="137"/>
      <c r="H316" s="140">
        <f t="shared" si="5"/>
        <v>430</v>
      </c>
      <c r="I316" s="134">
        <f t="shared" si="5"/>
        <v>0</v>
      </c>
      <c r="J316" s="140">
        <f t="shared" si="5"/>
        <v>8.5</v>
      </c>
      <c r="K316" s="134">
        <f t="shared" si="5"/>
        <v>0</v>
      </c>
      <c r="L316" s="140">
        <f t="shared" si="5"/>
        <v>449</v>
      </c>
      <c r="M316" s="134">
        <f t="shared" si="5"/>
        <v>0</v>
      </c>
      <c r="N316" s="141">
        <f t="shared" si="5"/>
        <v>1</v>
      </c>
      <c r="O316" s="134">
        <f t="shared" si="5"/>
        <v>0</v>
      </c>
      <c r="P316" s="141">
        <f t="shared" si="5"/>
        <v>-19</v>
      </c>
      <c r="Q316" s="135">
        <f t="shared" si="5"/>
        <v>0</v>
      </c>
    </row>
    <row r="317" spans="2:17" x14ac:dyDescent="0.2">
      <c r="B317" s="133">
        <f t="shared" si="4"/>
        <v>62</v>
      </c>
      <c r="C317" s="134" t="str">
        <f t="shared" si="4"/>
        <v>מנהל כספי</v>
      </c>
      <c r="D317" s="227">
        <f t="shared" si="4"/>
        <v>5</v>
      </c>
      <c r="E317" s="134">
        <f t="shared" si="4"/>
        <v>0</v>
      </c>
      <c r="F317" s="227">
        <f t="shared" si="4"/>
        <v>1024</v>
      </c>
      <c r="G317" s="137"/>
      <c r="H317" s="227">
        <f t="shared" si="5"/>
        <v>256</v>
      </c>
      <c r="I317" s="134">
        <f t="shared" si="5"/>
        <v>0</v>
      </c>
      <c r="J317" s="227">
        <f t="shared" si="5"/>
        <v>4.82</v>
      </c>
      <c r="K317" s="134">
        <f t="shared" si="5"/>
        <v>0</v>
      </c>
      <c r="L317" s="227">
        <f t="shared" si="5"/>
        <v>308</v>
      </c>
      <c r="M317" s="134">
        <f t="shared" si="5"/>
        <v>0</v>
      </c>
      <c r="N317" s="187">
        <f t="shared" si="5"/>
        <v>0.17999999999999972</v>
      </c>
      <c r="O317" s="134">
        <f t="shared" si="5"/>
        <v>0</v>
      </c>
      <c r="P317" s="187">
        <f t="shared" si="5"/>
        <v>-52</v>
      </c>
      <c r="Q317" s="135">
        <f t="shared" si="5"/>
        <v>0</v>
      </c>
    </row>
    <row r="318" spans="2:17" x14ac:dyDescent="0.2">
      <c r="B318" s="133">
        <f t="shared" si="4"/>
        <v>0</v>
      </c>
      <c r="C318" s="134" t="str">
        <f t="shared" si="4"/>
        <v>סה"כ הנהלה וכלליות</v>
      </c>
      <c r="D318" s="200">
        <f t="shared" si="4"/>
        <v>15.5</v>
      </c>
      <c r="E318" s="201">
        <f t="shared" si="4"/>
        <v>0</v>
      </c>
      <c r="F318" s="200">
        <f t="shared" si="4"/>
        <v>3404</v>
      </c>
      <c r="G318" s="202"/>
      <c r="H318" s="200">
        <f t="shared" si="5"/>
        <v>851</v>
      </c>
      <c r="I318" s="201">
        <f t="shared" si="5"/>
        <v>0</v>
      </c>
      <c r="J318" s="200">
        <f t="shared" si="5"/>
        <v>14.32</v>
      </c>
      <c r="K318" s="201">
        <f t="shared" si="5"/>
        <v>0</v>
      </c>
      <c r="L318" s="200">
        <f t="shared" si="5"/>
        <v>922</v>
      </c>
      <c r="M318" s="201">
        <f t="shared" si="5"/>
        <v>0</v>
      </c>
      <c r="N318" s="200">
        <f t="shared" si="5"/>
        <v>1.1799999999999997</v>
      </c>
      <c r="O318" s="201">
        <f t="shared" si="5"/>
        <v>0</v>
      </c>
      <c r="P318" s="200">
        <f t="shared" si="5"/>
        <v>-71</v>
      </c>
      <c r="Q318" s="135"/>
    </row>
    <row r="319" spans="2:17" x14ac:dyDescent="0.2">
      <c r="B319" s="133">
        <f t="shared" si="4"/>
        <v>7</v>
      </c>
      <c r="C319" s="199" t="str">
        <f t="shared" si="4"/>
        <v>שירותים מקומיים</v>
      </c>
      <c r="D319" s="134">
        <f t="shared" si="4"/>
        <v>0</v>
      </c>
      <c r="E319" s="134">
        <f t="shared" si="4"/>
        <v>0</v>
      </c>
      <c r="F319" s="134">
        <f t="shared" si="4"/>
        <v>0</v>
      </c>
      <c r="G319" s="134"/>
      <c r="H319" s="134">
        <f t="shared" si="5"/>
        <v>0</v>
      </c>
      <c r="I319" s="134">
        <f t="shared" si="5"/>
        <v>0</v>
      </c>
      <c r="J319" s="134">
        <f t="shared" si="5"/>
        <v>0</v>
      </c>
      <c r="K319" s="134">
        <f t="shared" si="5"/>
        <v>0</v>
      </c>
      <c r="L319" s="134">
        <f t="shared" si="5"/>
        <v>0</v>
      </c>
      <c r="M319" s="134">
        <f t="shared" si="5"/>
        <v>0</v>
      </c>
      <c r="N319" s="134">
        <f t="shared" si="5"/>
        <v>0</v>
      </c>
      <c r="O319" s="134">
        <f t="shared" si="5"/>
        <v>0</v>
      </c>
      <c r="P319" s="134">
        <f t="shared" si="5"/>
        <v>0</v>
      </c>
      <c r="Q319" s="135">
        <f>Q14</f>
        <v>0</v>
      </c>
    </row>
    <row r="320" spans="2:17" x14ac:dyDescent="0.2">
      <c r="B320" s="133">
        <f t="shared" si="4"/>
        <v>71</v>
      </c>
      <c r="C320" s="134" t="str">
        <f t="shared" si="4"/>
        <v>תברואה</v>
      </c>
      <c r="D320" s="137">
        <f t="shared" si="4"/>
        <v>17.100000000000001</v>
      </c>
      <c r="E320" s="134">
        <f t="shared" si="4"/>
        <v>0</v>
      </c>
      <c r="F320" s="137">
        <f t="shared" si="4"/>
        <v>4595</v>
      </c>
      <c r="G320" s="137"/>
      <c r="H320" s="137">
        <f t="shared" si="5"/>
        <v>1148.75</v>
      </c>
      <c r="I320" s="134">
        <f t="shared" si="5"/>
        <v>0</v>
      </c>
      <c r="J320" s="137">
        <f t="shared" si="5"/>
        <v>16</v>
      </c>
      <c r="K320" s="134">
        <f t="shared" si="5"/>
        <v>0</v>
      </c>
      <c r="L320" s="137">
        <f t="shared" si="5"/>
        <v>1060</v>
      </c>
      <c r="M320" s="134">
        <f t="shared" si="5"/>
        <v>0</v>
      </c>
      <c r="N320" s="138">
        <f t="shared" si="5"/>
        <v>1.1000000000000014</v>
      </c>
      <c r="O320" s="134">
        <f t="shared" si="5"/>
        <v>0</v>
      </c>
      <c r="P320" s="138">
        <f t="shared" si="5"/>
        <v>88.75</v>
      </c>
      <c r="Q320" s="135">
        <f>Q15</f>
        <v>0</v>
      </c>
    </row>
    <row r="321" spans="2:17" x14ac:dyDescent="0.2">
      <c r="B321" s="133">
        <f t="shared" si="4"/>
        <v>72</v>
      </c>
      <c r="C321" s="134" t="str">
        <f t="shared" si="4"/>
        <v>שמירה ובטחון</v>
      </c>
      <c r="D321" s="140">
        <f t="shared" si="4"/>
        <v>1</v>
      </c>
      <c r="E321" s="134">
        <f t="shared" si="4"/>
        <v>0</v>
      </c>
      <c r="F321" s="140">
        <f t="shared" si="4"/>
        <v>190</v>
      </c>
      <c r="G321" s="137"/>
      <c r="H321" s="140">
        <f t="shared" si="5"/>
        <v>47.5</v>
      </c>
      <c r="I321" s="134">
        <f t="shared" si="5"/>
        <v>0</v>
      </c>
      <c r="J321" s="140">
        <f t="shared" si="5"/>
        <v>1</v>
      </c>
      <c r="K321" s="134">
        <f t="shared" si="5"/>
        <v>0</v>
      </c>
      <c r="L321" s="140">
        <f t="shared" si="5"/>
        <v>44</v>
      </c>
      <c r="M321" s="134">
        <f t="shared" si="5"/>
        <v>0</v>
      </c>
      <c r="N321" s="141">
        <f t="shared" si="5"/>
        <v>0</v>
      </c>
      <c r="O321" s="134">
        <f t="shared" si="5"/>
        <v>0</v>
      </c>
      <c r="P321" s="141">
        <f t="shared" si="5"/>
        <v>3.5</v>
      </c>
      <c r="Q321" s="135">
        <f>Q16</f>
        <v>0</v>
      </c>
    </row>
    <row r="322" spans="2:17" x14ac:dyDescent="0.2">
      <c r="B322" s="133">
        <f t="shared" si="4"/>
        <v>73</v>
      </c>
      <c r="C322" s="134" t="str">
        <f t="shared" si="4"/>
        <v>תכנון ובנין עיר</v>
      </c>
      <c r="D322" s="140">
        <f t="shared" si="4"/>
        <v>6.25</v>
      </c>
      <c r="E322" s="134">
        <f t="shared" si="4"/>
        <v>0</v>
      </c>
      <c r="F322" s="140">
        <f t="shared" si="4"/>
        <v>1386</v>
      </c>
      <c r="G322" s="137"/>
      <c r="H322" s="140">
        <f t="shared" si="5"/>
        <v>346.5</v>
      </c>
      <c r="I322" s="134">
        <f t="shared" si="5"/>
        <v>0</v>
      </c>
      <c r="J322" s="140">
        <f t="shared" si="5"/>
        <v>6.27</v>
      </c>
      <c r="K322" s="134">
        <f t="shared" si="5"/>
        <v>0</v>
      </c>
      <c r="L322" s="140">
        <f t="shared" si="5"/>
        <v>313</v>
      </c>
      <c r="M322" s="134">
        <f t="shared" si="5"/>
        <v>0</v>
      </c>
      <c r="N322" s="141">
        <f t="shared" si="5"/>
        <v>-1.9999999999999574E-2</v>
      </c>
      <c r="O322" s="134">
        <f t="shared" si="5"/>
        <v>0</v>
      </c>
      <c r="P322" s="141">
        <f t="shared" si="5"/>
        <v>33.5</v>
      </c>
      <c r="Q322" s="135">
        <f>Q17</f>
        <v>0</v>
      </c>
    </row>
    <row r="323" spans="2:17" x14ac:dyDescent="0.2">
      <c r="B323" s="133">
        <f t="shared" si="4"/>
        <v>74</v>
      </c>
      <c r="C323" s="134" t="str">
        <f t="shared" si="4"/>
        <v>נכסים ציבוריים</v>
      </c>
      <c r="D323" s="140">
        <f t="shared" si="4"/>
        <v>2</v>
      </c>
      <c r="E323" s="134">
        <f t="shared" si="4"/>
        <v>0</v>
      </c>
      <c r="F323" s="140">
        <f t="shared" si="4"/>
        <v>496</v>
      </c>
      <c r="G323" s="137"/>
      <c r="H323" s="140">
        <f t="shared" si="5"/>
        <v>124</v>
      </c>
      <c r="I323" s="134">
        <f t="shared" si="5"/>
        <v>0</v>
      </c>
      <c r="J323" s="140">
        <f t="shared" si="5"/>
        <v>2</v>
      </c>
      <c r="K323" s="134">
        <f t="shared" si="5"/>
        <v>0</v>
      </c>
      <c r="L323" s="140">
        <f t="shared" si="5"/>
        <v>116</v>
      </c>
      <c r="M323" s="134">
        <f t="shared" si="5"/>
        <v>0</v>
      </c>
      <c r="N323" s="141">
        <f t="shared" si="5"/>
        <v>0</v>
      </c>
      <c r="O323" s="134">
        <f t="shared" si="5"/>
        <v>0</v>
      </c>
      <c r="P323" s="141">
        <f t="shared" si="5"/>
        <v>8</v>
      </c>
      <c r="Q323" s="135">
        <f>Q18</f>
        <v>0</v>
      </c>
    </row>
    <row r="324" spans="2:17" x14ac:dyDescent="0.2">
      <c r="B324" s="133">
        <f t="shared" si="4"/>
        <v>76</v>
      </c>
      <c r="C324" s="134" t="str">
        <f t="shared" si="4"/>
        <v>שרותים עירוניים שונים</v>
      </c>
      <c r="D324" s="140">
        <f t="shared" si="4"/>
        <v>0.15</v>
      </c>
      <c r="E324" s="134">
        <f t="shared" si="4"/>
        <v>0</v>
      </c>
      <c r="F324" s="140">
        <f t="shared" si="4"/>
        <v>14</v>
      </c>
      <c r="G324" s="137"/>
      <c r="H324" s="140">
        <f t="shared" si="5"/>
        <v>3.5</v>
      </c>
      <c r="I324" s="134">
        <f t="shared" si="5"/>
        <v>0</v>
      </c>
      <c r="J324" s="140">
        <f t="shared" si="5"/>
        <v>0.16</v>
      </c>
      <c r="K324" s="134">
        <f t="shared" si="5"/>
        <v>0</v>
      </c>
      <c r="L324" s="140">
        <f t="shared" si="5"/>
        <v>3</v>
      </c>
      <c r="M324" s="134">
        <f t="shared" si="5"/>
        <v>0</v>
      </c>
      <c r="N324" s="141">
        <f t="shared" si="5"/>
        <v>-1.0000000000000009E-2</v>
      </c>
      <c r="O324" s="134">
        <f t="shared" si="5"/>
        <v>0</v>
      </c>
      <c r="P324" s="141">
        <f t="shared" si="5"/>
        <v>0.5</v>
      </c>
      <c r="Q324" s="135"/>
    </row>
    <row r="325" spans="2:17" x14ac:dyDescent="0.2">
      <c r="B325" s="133">
        <f t="shared" si="4"/>
        <v>78</v>
      </c>
      <c r="C325" s="134" t="str">
        <f t="shared" si="4"/>
        <v>פיקוח עירוני</v>
      </c>
      <c r="D325" s="140">
        <f t="shared" si="4"/>
        <v>1</v>
      </c>
      <c r="E325" s="134">
        <f t="shared" si="4"/>
        <v>0</v>
      </c>
      <c r="F325" s="140">
        <f t="shared" si="4"/>
        <v>130</v>
      </c>
      <c r="G325" s="137"/>
      <c r="H325" s="140">
        <f t="shared" si="5"/>
        <v>32.5</v>
      </c>
      <c r="I325" s="134">
        <f t="shared" si="5"/>
        <v>0</v>
      </c>
      <c r="J325" s="140">
        <f t="shared" si="5"/>
        <v>1</v>
      </c>
      <c r="K325" s="134">
        <f t="shared" si="5"/>
        <v>0</v>
      </c>
      <c r="L325" s="140">
        <f t="shared" si="5"/>
        <v>31</v>
      </c>
      <c r="M325" s="134">
        <f t="shared" si="5"/>
        <v>0</v>
      </c>
      <c r="N325" s="141">
        <f t="shared" si="5"/>
        <v>0</v>
      </c>
      <c r="O325" s="134">
        <f t="shared" si="5"/>
        <v>0</v>
      </c>
      <c r="P325" s="141">
        <f t="shared" si="5"/>
        <v>1.5</v>
      </c>
      <c r="Q325" s="135">
        <f t="shared" si="5"/>
        <v>0</v>
      </c>
    </row>
    <row r="326" spans="2:17" x14ac:dyDescent="0.2">
      <c r="B326" s="133">
        <f t="shared" si="4"/>
        <v>79</v>
      </c>
      <c r="C326" s="134" t="str">
        <f t="shared" si="4"/>
        <v>שירותים חקלאיים</v>
      </c>
      <c r="D326" s="140">
        <f t="shared" si="4"/>
        <v>0.4</v>
      </c>
      <c r="E326" s="134">
        <f t="shared" si="4"/>
        <v>0</v>
      </c>
      <c r="F326" s="140">
        <f t="shared" si="4"/>
        <v>77</v>
      </c>
      <c r="G326" s="137"/>
      <c r="H326" s="140">
        <f t="shared" si="5"/>
        <v>19.25</v>
      </c>
      <c r="I326" s="134">
        <f t="shared" si="5"/>
        <v>0</v>
      </c>
      <c r="J326" s="140">
        <f t="shared" si="5"/>
        <v>0.4</v>
      </c>
      <c r="K326" s="134">
        <f t="shared" si="5"/>
        <v>0</v>
      </c>
      <c r="L326" s="140">
        <f t="shared" si="5"/>
        <v>18</v>
      </c>
      <c r="M326" s="134">
        <f t="shared" si="5"/>
        <v>0</v>
      </c>
      <c r="N326" s="141">
        <f t="shared" si="5"/>
        <v>0</v>
      </c>
      <c r="O326" s="134">
        <f t="shared" si="5"/>
        <v>0</v>
      </c>
      <c r="P326" s="141">
        <f t="shared" si="5"/>
        <v>1.25</v>
      </c>
      <c r="Q326" s="135">
        <f t="shared" si="5"/>
        <v>0</v>
      </c>
    </row>
    <row r="327" spans="2:17" x14ac:dyDescent="0.2">
      <c r="B327" s="133">
        <f t="shared" ref="B327:F343" si="6">B22</f>
        <v>0</v>
      </c>
      <c r="C327" s="134" t="str">
        <f t="shared" si="6"/>
        <v>סה"כ שרותים מקומיים</v>
      </c>
      <c r="D327" s="200">
        <f t="shared" si="6"/>
        <v>27.9</v>
      </c>
      <c r="E327" s="201">
        <f t="shared" si="6"/>
        <v>0</v>
      </c>
      <c r="F327" s="200">
        <f t="shared" si="6"/>
        <v>6888</v>
      </c>
      <c r="G327" s="202"/>
      <c r="H327" s="200">
        <f t="shared" ref="H327:Q343" si="7">H22</f>
        <v>1722</v>
      </c>
      <c r="I327" s="201">
        <f t="shared" si="7"/>
        <v>0</v>
      </c>
      <c r="J327" s="200">
        <f t="shared" si="7"/>
        <v>26.83</v>
      </c>
      <c r="K327" s="201">
        <f t="shared" si="7"/>
        <v>0</v>
      </c>
      <c r="L327" s="200">
        <f t="shared" si="7"/>
        <v>1585</v>
      </c>
      <c r="M327" s="201">
        <f t="shared" si="7"/>
        <v>0</v>
      </c>
      <c r="N327" s="200">
        <f t="shared" si="7"/>
        <v>1.0700000000000018</v>
      </c>
      <c r="O327" s="201">
        <f t="shared" si="7"/>
        <v>0</v>
      </c>
      <c r="P327" s="200">
        <f t="shared" si="7"/>
        <v>137</v>
      </c>
      <c r="Q327" s="135">
        <f t="shared" si="7"/>
        <v>0</v>
      </c>
    </row>
    <row r="328" spans="2:17" x14ac:dyDescent="0.2">
      <c r="B328" s="133">
        <f t="shared" si="6"/>
        <v>8</v>
      </c>
      <c r="C328" s="199" t="str">
        <f t="shared" si="6"/>
        <v>שרותים ממלכתיים</v>
      </c>
      <c r="D328" s="134">
        <f t="shared" si="6"/>
        <v>0</v>
      </c>
      <c r="E328" s="134">
        <f t="shared" si="6"/>
        <v>0</v>
      </c>
      <c r="F328" s="134">
        <f t="shared" si="6"/>
        <v>0</v>
      </c>
      <c r="G328" s="134"/>
      <c r="H328" s="134">
        <f t="shared" si="7"/>
        <v>0</v>
      </c>
      <c r="I328" s="134">
        <f t="shared" si="7"/>
        <v>0</v>
      </c>
      <c r="J328" s="134">
        <f t="shared" si="7"/>
        <v>0</v>
      </c>
      <c r="K328" s="134">
        <f t="shared" si="7"/>
        <v>0</v>
      </c>
      <c r="L328" s="134">
        <f t="shared" si="7"/>
        <v>0</v>
      </c>
      <c r="M328" s="134">
        <f t="shared" si="7"/>
        <v>0</v>
      </c>
      <c r="N328" s="134">
        <f t="shared" si="7"/>
        <v>0</v>
      </c>
      <c r="O328" s="134">
        <f t="shared" si="7"/>
        <v>0</v>
      </c>
      <c r="P328" s="134">
        <f t="shared" si="7"/>
        <v>0</v>
      </c>
      <c r="Q328" s="135">
        <f t="shared" si="7"/>
        <v>0</v>
      </c>
    </row>
    <row r="329" spans="2:17" x14ac:dyDescent="0.2">
      <c r="B329" s="133">
        <f t="shared" si="6"/>
        <v>81</v>
      </c>
      <c r="C329" s="134" t="str">
        <f t="shared" si="6"/>
        <v>חינוך</v>
      </c>
      <c r="D329" s="137">
        <f t="shared" si="6"/>
        <v>172.1</v>
      </c>
      <c r="E329" s="134">
        <f t="shared" si="6"/>
        <v>0</v>
      </c>
      <c r="F329" s="137">
        <f t="shared" si="6"/>
        <v>33706</v>
      </c>
      <c r="G329" s="137"/>
      <c r="H329" s="137">
        <f t="shared" si="7"/>
        <v>8426.5</v>
      </c>
      <c r="I329" s="134">
        <f t="shared" si="7"/>
        <v>0</v>
      </c>
      <c r="J329" s="137">
        <f t="shared" si="7"/>
        <v>170.23</v>
      </c>
      <c r="K329" s="134">
        <f t="shared" si="7"/>
        <v>0</v>
      </c>
      <c r="L329" s="137">
        <f t="shared" si="7"/>
        <v>7847</v>
      </c>
      <c r="M329" s="134">
        <f t="shared" si="7"/>
        <v>0</v>
      </c>
      <c r="N329" s="138">
        <f t="shared" si="7"/>
        <v>1.8700000000000045</v>
      </c>
      <c r="O329" s="134">
        <f t="shared" si="7"/>
        <v>0</v>
      </c>
      <c r="P329" s="138">
        <f t="shared" si="7"/>
        <v>579.5</v>
      </c>
      <c r="Q329" s="135">
        <f t="shared" si="7"/>
        <v>0</v>
      </c>
    </row>
    <row r="330" spans="2:17" x14ac:dyDescent="0.2">
      <c r="B330" s="133">
        <f t="shared" si="6"/>
        <v>82</v>
      </c>
      <c r="C330" s="134" t="str">
        <f t="shared" si="6"/>
        <v>תרבות</v>
      </c>
      <c r="D330" s="140">
        <f t="shared" si="6"/>
        <v>40.6</v>
      </c>
      <c r="E330" s="134">
        <f t="shared" si="6"/>
        <v>0</v>
      </c>
      <c r="F330" s="140">
        <f t="shared" si="6"/>
        <v>5316</v>
      </c>
      <c r="G330" s="137"/>
      <c r="H330" s="140">
        <f t="shared" si="7"/>
        <v>1329</v>
      </c>
      <c r="I330" s="134">
        <f t="shared" si="7"/>
        <v>0</v>
      </c>
      <c r="J330" s="140">
        <f t="shared" si="7"/>
        <v>38.340000000000003</v>
      </c>
      <c r="K330" s="134">
        <f t="shared" si="7"/>
        <v>0</v>
      </c>
      <c r="L330" s="140">
        <f t="shared" si="7"/>
        <v>1370</v>
      </c>
      <c r="M330" s="134">
        <f t="shared" si="7"/>
        <v>0</v>
      </c>
      <c r="N330" s="141">
        <f t="shared" si="7"/>
        <v>2.259999999999998</v>
      </c>
      <c r="O330" s="134">
        <f t="shared" si="7"/>
        <v>0</v>
      </c>
      <c r="P330" s="141">
        <f t="shared" si="7"/>
        <v>-41</v>
      </c>
      <c r="Q330" s="135">
        <f t="shared" si="7"/>
        <v>0</v>
      </c>
    </row>
    <row r="331" spans="2:17" x14ac:dyDescent="0.2">
      <c r="B331" s="133">
        <f t="shared" si="6"/>
        <v>83</v>
      </c>
      <c r="C331" s="134" t="str">
        <f t="shared" si="6"/>
        <v>בריאות</v>
      </c>
      <c r="D331" s="140">
        <f t="shared" si="6"/>
        <v>2.7</v>
      </c>
      <c r="E331" s="134">
        <f t="shared" si="6"/>
        <v>0</v>
      </c>
      <c r="F331" s="140">
        <f t="shared" si="6"/>
        <v>459</v>
      </c>
      <c r="G331" s="137"/>
      <c r="H331" s="140">
        <f t="shared" si="7"/>
        <v>114.75</v>
      </c>
      <c r="I331" s="134">
        <f t="shared" si="7"/>
        <v>0</v>
      </c>
      <c r="J331" s="140">
        <f t="shared" si="7"/>
        <v>2.9</v>
      </c>
      <c r="K331" s="134">
        <f t="shared" si="7"/>
        <v>0</v>
      </c>
      <c r="L331" s="140">
        <f t="shared" si="7"/>
        <v>106</v>
      </c>
      <c r="M331" s="134">
        <f t="shared" si="7"/>
        <v>0</v>
      </c>
      <c r="N331" s="141">
        <f t="shared" si="7"/>
        <v>-0.19999999999999973</v>
      </c>
      <c r="O331" s="134">
        <f t="shared" si="7"/>
        <v>0</v>
      </c>
      <c r="P331" s="141">
        <f t="shared" si="7"/>
        <v>8.75</v>
      </c>
      <c r="Q331" s="135">
        <f t="shared" si="7"/>
        <v>0</v>
      </c>
    </row>
    <row r="332" spans="2:17" x14ac:dyDescent="0.2">
      <c r="B332" s="133">
        <f t="shared" si="6"/>
        <v>84</v>
      </c>
      <c r="C332" s="134" t="str">
        <f t="shared" si="6"/>
        <v>רווחה</v>
      </c>
      <c r="D332" s="140">
        <f t="shared" si="6"/>
        <v>11.2</v>
      </c>
      <c r="E332" s="134">
        <f t="shared" si="6"/>
        <v>0</v>
      </c>
      <c r="F332" s="140">
        <f t="shared" si="6"/>
        <v>2210</v>
      </c>
      <c r="G332" s="137"/>
      <c r="H332" s="140">
        <f t="shared" si="7"/>
        <v>552.5</v>
      </c>
      <c r="I332" s="134">
        <f t="shared" si="7"/>
        <v>0</v>
      </c>
      <c r="J332" s="140">
        <f t="shared" si="7"/>
        <v>11.11</v>
      </c>
      <c r="K332" s="134">
        <f t="shared" si="7"/>
        <v>0</v>
      </c>
      <c r="L332" s="140">
        <f t="shared" si="7"/>
        <v>511</v>
      </c>
      <c r="M332" s="134">
        <f t="shared" si="7"/>
        <v>0</v>
      </c>
      <c r="N332" s="141">
        <f t="shared" si="7"/>
        <v>8.9999999999999858E-2</v>
      </c>
      <c r="O332" s="134">
        <f t="shared" si="7"/>
        <v>0</v>
      </c>
      <c r="P332" s="141">
        <f t="shared" si="7"/>
        <v>41.5</v>
      </c>
      <c r="Q332" s="135">
        <f t="shared" si="7"/>
        <v>0</v>
      </c>
    </row>
    <row r="333" spans="2:17" x14ac:dyDescent="0.2">
      <c r="B333" s="133">
        <f t="shared" si="6"/>
        <v>85</v>
      </c>
      <c r="C333" s="134" t="str">
        <f t="shared" si="6"/>
        <v>דת</v>
      </c>
      <c r="D333" s="140">
        <f t="shared" si="6"/>
        <v>0</v>
      </c>
      <c r="E333" s="134">
        <f t="shared" si="6"/>
        <v>0</v>
      </c>
      <c r="F333" s="140">
        <f t="shared" si="6"/>
        <v>0</v>
      </c>
      <c r="G333" s="137"/>
      <c r="H333" s="140">
        <f t="shared" si="7"/>
        <v>0</v>
      </c>
      <c r="I333" s="134">
        <f t="shared" si="7"/>
        <v>0</v>
      </c>
      <c r="J333" s="140">
        <f t="shared" si="7"/>
        <v>0</v>
      </c>
      <c r="K333" s="134">
        <f t="shared" si="7"/>
        <v>0</v>
      </c>
      <c r="L333" s="140">
        <f t="shared" si="7"/>
        <v>0</v>
      </c>
      <c r="M333" s="134">
        <f t="shared" si="7"/>
        <v>0</v>
      </c>
      <c r="N333" s="141">
        <f t="shared" si="7"/>
        <v>0</v>
      </c>
      <c r="O333" s="134">
        <f t="shared" si="7"/>
        <v>0</v>
      </c>
      <c r="P333" s="141">
        <f t="shared" si="7"/>
        <v>0</v>
      </c>
      <c r="Q333" s="135">
        <f t="shared" si="7"/>
        <v>0</v>
      </c>
    </row>
    <row r="334" spans="2:17" x14ac:dyDescent="0.2">
      <c r="B334" s="133">
        <f t="shared" si="6"/>
        <v>86</v>
      </c>
      <c r="C334" s="134" t="str">
        <f t="shared" si="6"/>
        <v>קליטת עליה</v>
      </c>
      <c r="D334" s="140">
        <f t="shared" si="6"/>
        <v>1.6</v>
      </c>
      <c r="E334" s="134">
        <f t="shared" si="6"/>
        <v>0</v>
      </c>
      <c r="F334" s="140">
        <f t="shared" si="6"/>
        <v>240</v>
      </c>
      <c r="G334" s="137"/>
      <c r="H334" s="140">
        <f t="shared" si="7"/>
        <v>60</v>
      </c>
      <c r="I334" s="134">
        <f t="shared" si="7"/>
        <v>0</v>
      </c>
      <c r="J334" s="140">
        <f t="shared" si="7"/>
        <v>1</v>
      </c>
      <c r="K334" s="134">
        <f t="shared" si="7"/>
        <v>0</v>
      </c>
      <c r="L334" s="140">
        <f t="shared" si="7"/>
        <v>41</v>
      </c>
      <c r="M334" s="134">
        <f t="shared" si="7"/>
        <v>0</v>
      </c>
      <c r="N334" s="141">
        <f t="shared" si="7"/>
        <v>0.60000000000000009</v>
      </c>
      <c r="O334" s="134">
        <f t="shared" si="7"/>
        <v>0</v>
      </c>
      <c r="P334" s="141">
        <f t="shared" si="7"/>
        <v>19</v>
      </c>
      <c r="Q334" s="135">
        <f t="shared" si="7"/>
        <v>0</v>
      </c>
    </row>
    <row r="335" spans="2:17" x14ac:dyDescent="0.2">
      <c r="B335" s="133">
        <f t="shared" si="6"/>
        <v>87</v>
      </c>
      <c r="C335" s="134" t="str">
        <f t="shared" si="6"/>
        <v>איכות סביבה</v>
      </c>
      <c r="D335" s="140">
        <f t="shared" si="6"/>
        <v>0</v>
      </c>
      <c r="E335" s="134">
        <f t="shared" si="6"/>
        <v>0</v>
      </c>
      <c r="F335" s="140">
        <f t="shared" si="6"/>
        <v>0</v>
      </c>
      <c r="G335" s="137"/>
      <c r="H335" s="140">
        <f t="shared" si="7"/>
        <v>0</v>
      </c>
      <c r="I335" s="134">
        <f t="shared" si="7"/>
        <v>0</v>
      </c>
      <c r="J335" s="140">
        <f t="shared" si="7"/>
        <v>0</v>
      </c>
      <c r="K335" s="134">
        <f t="shared" si="7"/>
        <v>0</v>
      </c>
      <c r="L335" s="140">
        <f t="shared" si="7"/>
        <v>0</v>
      </c>
      <c r="M335" s="134">
        <f t="shared" si="7"/>
        <v>0</v>
      </c>
      <c r="N335" s="141">
        <f t="shared" si="7"/>
        <v>0</v>
      </c>
      <c r="O335" s="134">
        <f t="shared" si="7"/>
        <v>0</v>
      </c>
      <c r="P335" s="141">
        <f t="shared" si="7"/>
        <v>0</v>
      </c>
      <c r="Q335" s="135">
        <f t="shared" si="7"/>
        <v>0</v>
      </c>
    </row>
    <row r="336" spans="2:17" x14ac:dyDescent="0.2">
      <c r="B336" s="133">
        <f t="shared" si="6"/>
        <v>0</v>
      </c>
      <c r="C336" s="134" t="str">
        <f t="shared" si="6"/>
        <v>סה"כ שרותים ממלכתיים</v>
      </c>
      <c r="D336" s="200">
        <f t="shared" si="6"/>
        <v>228.19999999999996</v>
      </c>
      <c r="E336" s="201">
        <f t="shared" si="6"/>
        <v>0</v>
      </c>
      <c r="F336" s="200">
        <f t="shared" si="6"/>
        <v>41931</v>
      </c>
      <c r="G336" s="202"/>
      <c r="H336" s="200">
        <f t="shared" si="7"/>
        <v>10482.75</v>
      </c>
      <c r="I336" s="201">
        <f t="shared" si="7"/>
        <v>0</v>
      </c>
      <c r="J336" s="200">
        <f t="shared" si="7"/>
        <v>223.57999999999998</v>
      </c>
      <c r="K336" s="201">
        <f t="shared" si="7"/>
        <v>0</v>
      </c>
      <c r="L336" s="200">
        <f t="shared" si="7"/>
        <v>9875</v>
      </c>
      <c r="M336" s="201">
        <f t="shared" si="7"/>
        <v>0</v>
      </c>
      <c r="N336" s="200">
        <f t="shared" si="7"/>
        <v>4.6200000000000028</v>
      </c>
      <c r="O336" s="134">
        <f t="shared" si="7"/>
        <v>0</v>
      </c>
      <c r="P336" s="200">
        <f t="shared" si="7"/>
        <v>607.75</v>
      </c>
      <c r="Q336" s="135">
        <f t="shared" si="7"/>
        <v>0</v>
      </c>
    </row>
    <row r="337" spans="2:17" x14ac:dyDescent="0.2">
      <c r="B337" s="133">
        <f t="shared" si="6"/>
        <v>9</v>
      </c>
      <c r="C337" s="199" t="str">
        <f t="shared" si="6"/>
        <v>מפעלים</v>
      </c>
      <c r="D337" s="134">
        <f t="shared" si="6"/>
        <v>0</v>
      </c>
      <c r="E337" s="134">
        <f t="shared" si="6"/>
        <v>0</v>
      </c>
      <c r="F337" s="134">
        <f t="shared" si="6"/>
        <v>0</v>
      </c>
      <c r="G337" s="134"/>
      <c r="H337" s="134">
        <f t="shared" si="7"/>
        <v>0</v>
      </c>
      <c r="I337" s="134">
        <f t="shared" si="7"/>
        <v>0</v>
      </c>
      <c r="J337" s="134">
        <f t="shared" si="7"/>
        <v>0</v>
      </c>
      <c r="K337" s="134">
        <f t="shared" si="7"/>
        <v>0</v>
      </c>
      <c r="L337" s="134">
        <f t="shared" si="7"/>
        <v>0</v>
      </c>
      <c r="M337" s="134">
        <f t="shared" si="7"/>
        <v>0</v>
      </c>
      <c r="N337" s="134">
        <f t="shared" si="7"/>
        <v>0</v>
      </c>
      <c r="O337" s="134">
        <f t="shared" si="7"/>
        <v>0</v>
      </c>
      <c r="P337" s="134">
        <f t="shared" si="7"/>
        <v>0</v>
      </c>
      <c r="Q337" s="135">
        <f t="shared" si="7"/>
        <v>0</v>
      </c>
    </row>
    <row r="338" spans="2:17" x14ac:dyDescent="0.2">
      <c r="B338" s="133">
        <f t="shared" si="6"/>
        <v>91</v>
      </c>
      <c r="C338" s="134" t="str">
        <f t="shared" si="6"/>
        <v>מים</v>
      </c>
      <c r="D338" s="137">
        <f t="shared" si="6"/>
        <v>0</v>
      </c>
      <c r="E338" s="134">
        <f t="shared" si="6"/>
        <v>0</v>
      </c>
      <c r="F338" s="137">
        <f t="shared" si="6"/>
        <v>0</v>
      </c>
      <c r="G338" s="137"/>
      <c r="H338" s="137">
        <f t="shared" si="7"/>
        <v>0</v>
      </c>
      <c r="I338" s="134">
        <f t="shared" si="7"/>
        <v>0</v>
      </c>
      <c r="J338" s="137">
        <f t="shared" si="7"/>
        <v>0</v>
      </c>
      <c r="K338" s="134">
        <f t="shared" si="7"/>
        <v>0</v>
      </c>
      <c r="L338" s="137">
        <f t="shared" si="7"/>
        <v>0</v>
      </c>
      <c r="M338" s="134">
        <f t="shared" si="7"/>
        <v>0</v>
      </c>
      <c r="N338" s="138">
        <f t="shared" si="7"/>
        <v>0</v>
      </c>
      <c r="O338" s="134">
        <f t="shared" si="7"/>
        <v>0</v>
      </c>
      <c r="P338" s="138">
        <f t="shared" si="7"/>
        <v>0</v>
      </c>
      <c r="Q338" s="135">
        <f t="shared" si="7"/>
        <v>0</v>
      </c>
    </row>
    <row r="339" spans="2:17" x14ac:dyDescent="0.2">
      <c r="B339" s="133">
        <f t="shared" si="6"/>
        <v>92</v>
      </c>
      <c r="C339" s="134" t="str">
        <f t="shared" si="6"/>
        <v>בתי מטבחיים</v>
      </c>
      <c r="D339" s="140">
        <f t="shared" si="6"/>
        <v>0</v>
      </c>
      <c r="E339" s="134">
        <f t="shared" si="6"/>
        <v>0</v>
      </c>
      <c r="F339" s="140">
        <f t="shared" si="6"/>
        <v>0</v>
      </c>
      <c r="G339" s="137"/>
      <c r="H339" s="140">
        <f t="shared" si="7"/>
        <v>0</v>
      </c>
      <c r="I339" s="134">
        <f t="shared" si="7"/>
        <v>0</v>
      </c>
      <c r="J339" s="140">
        <f t="shared" si="7"/>
        <v>0</v>
      </c>
      <c r="K339" s="134">
        <f t="shared" si="7"/>
        <v>0</v>
      </c>
      <c r="L339" s="140">
        <f t="shared" si="7"/>
        <v>0</v>
      </c>
      <c r="M339" s="134">
        <f t="shared" si="7"/>
        <v>0</v>
      </c>
      <c r="N339" s="141">
        <f t="shared" si="7"/>
        <v>0</v>
      </c>
      <c r="O339" s="134">
        <f t="shared" si="7"/>
        <v>0</v>
      </c>
      <c r="P339" s="141">
        <f t="shared" si="7"/>
        <v>0</v>
      </c>
      <c r="Q339" s="135">
        <f t="shared" si="7"/>
        <v>0</v>
      </c>
    </row>
    <row r="340" spans="2:17" x14ac:dyDescent="0.2">
      <c r="B340" s="133">
        <f t="shared" si="6"/>
        <v>93</v>
      </c>
      <c r="C340" s="134" t="str">
        <f t="shared" si="6"/>
        <v>נכסים</v>
      </c>
      <c r="D340" s="140">
        <f t="shared" si="6"/>
        <v>1</v>
      </c>
      <c r="E340" s="134">
        <f t="shared" si="6"/>
        <v>0</v>
      </c>
      <c r="F340" s="140">
        <f t="shared" si="6"/>
        <v>220</v>
      </c>
      <c r="G340" s="137"/>
      <c r="H340" s="140">
        <f t="shared" si="7"/>
        <v>55</v>
      </c>
      <c r="I340" s="134">
        <f t="shared" si="7"/>
        <v>0</v>
      </c>
      <c r="J340" s="140">
        <f t="shared" si="7"/>
        <v>1</v>
      </c>
      <c r="K340" s="134">
        <f t="shared" si="7"/>
        <v>0</v>
      </c>
      <c r="L340" s="140">
        <f t="shared" si="7"/>
        <v>49</v>
      </c>
      <c r="M340" s="134">
        <f t="shared" si="7"/>
        <v>0</v>
      </c>
      <c r="N340" s="141">
        <f t="shared" si="7"/>
        <v>0</v>
      </c>
      <c r="O340" s="134">
        <f t="shared" si="7"/>
        <v>0</v>
      </c>
      <c r="P340" s="141">
        <f t="shared" si="7"/>
        <v>6</v>
      </c>
      <c r="Q340" s="135"/>
    </row>
    <row r="341" spans="2:17" x14ac:dyDescent="0.2">
      <c r="B341" s="133">
        <f t="shared" si="6"/>
        <v>94</v>
      </c>
      <c r="C341" s="134" t="str">
        <f t="shared" si="6"/>
        <v>תחבורה</v>
      </c>
      <c r="D341" s="140">
        <f t="shared" si="6"/>
        <v>12</v>
      </c>
      <c r="E341" s="134">
        <f t="shared" si="6"/>
        <v>0</v>
      </c>
      <c r="F341" s="140">
        <f t="shared" si="6"/>
        <v>2360</v>
      </c>
      <c r="G341" s="137"/>
      <c r="H341" s="140">
        <f t="shared" si="7"/>
        <v>590</v>
      </c>
      <c r="I341" s="134">
        <f t="shared" si="7"/>
        <v>0</v>
      </c>
      <c r="J341" s="140">
        <f t="shared" si="7"/>
        <v>11.69</v>
      </c>
      <c r="K341" s="134">
        <f t="shared" si="7"/>
        <v>0</v>
      </c>
      <c r="L341" s="140">
        <f t="shared" si="7"/>
        <v>538</v>
      </c>
      <c r="M341" s="134">
        <f t="shared" si="7"/>
        <v>0</v>
      </c>
      <c r="N341" s="141">
        <f t="shared" si="7"/>
        <v>0.3100000000000005</v>
      </c>
      <c r="O341" s="134">
        <f t="shared" si="7"/>
        <v>0</v>
      </c>
      <c r="P341" s="141">
        <f t="shared" si="7"/>
        <v>52</v>
      </c>
      <c r="Q341" s="135">
        <f t="shared" si="7"/>
        <v>0</v>
      </c>
    </row>
    <row r="342" spans="2:17" x14ac:dyDescent="0.2">
      <c r="B342" s="133">
        <f t="shared" si="6"/>
        <v>97</v>
      </c>
      <c r="C342" s="134" t="str">
        <f t="shared" si="6"/>
        <v>מפעלי ביוב</v>
      </c>
      <c r="D342" s="140">
        <f t="shared" si="6"/>
        <v>1</v>
      </c>
      <c r="E342" s="134">
        <f t="shared" si="6"/>
        <v>0</v>
      </c>
      <c r="F342" s="140">
        <f t="shared" si="6"/>
        <v>130</v>
      </c>
      <c r="G342" s="137"/>
      <c r="H342" s="140">
        <f t="shared" si="7"/>
        <v>32.5</v>
      </c>
      <c r="I342" s="134">
        <f t="shared" si="7"/>
        <v>0</v>
      </c>
      <c r="J342" s="140">
        <f t="shared" si="7"/>
        <v>0.54</v>
      </c>
      <c r="K342" s="134">
        <f t="shared" si="7"/>
        <v>0</v>
      </c>
      <c r="L342" s="140">
        <f t="shared" si="7"/>
        <v>36</v>
      </c>
      <c r="M342" s="134">
        <f t="shared" si="7"/>
        <v>0</v>
      </c>
      <c r="N342" s="141">
        <f t="shared" si="7"/>
        <v>0.45999999999999996</v>
      </c>
      <c r="O342" s="134">
        <f t="shared" si="7"/>
        <v>0</v>
      </c>
      <c r="P342" s="141">
        <f t="shared" si="7"/>
        <v>-3.5</v>
      </c>
      <c r="Q342" s="135">
        <f t="shared" si="7"/>
        <v>0</v>
      </c>
    </row>
    <row r="343" spans="2:17" x14ac:dyDescent="0.2">
      <c r="B343" s="133">
        <f t="shared" si="6"/>
        <v>98</v>
      </c>
      <c r="C343" s="134" t="str">
        <f t="shared" si="6"/>
        <v>מפעלים אחרים</v>
      </c>
      <c r="D343" s="140">
        <f t="shared" si="6"/>
        <v>0</v>
      </c>
      <c r="E343" s="134">
        <f t="shared" si="6"/>
        <v>0</v>
      </c>
      <c r="F343" s="140">
        <f t="shared" si="6"/>
        <v>0</v>
      </c>
      <c r="G343" s="137"/>
      <c r="H343" s="140">
        <f t="shared" si="7"/>
        <v>0</v>
      </c>
      <c r="I343" s="134">
        <f t="shared" si="7"/>
        <v>0</v>
      </c>
      <c r="J343" s="140">
        <f t="shared" si="7"/>
        <v>0</v>
      </c>
      <c r="K343" s="134">
        <f t="shared" si="7"/>
        <v>0</v>
      </c>
      <c r="L343" s="140">
        <f t="shared" si="7"/>
        <v>0</v>
      </c>
      <c r="M343" s="134">
        <f t="shared" si="7"/>
        <v>0</v>
      </c>
      <c r="N343" s="141">
        <f t="shared" si="7"/>
        <v>0</v>
      </c>
      <c r="O343" s="134">
        <f t="shared" si="7"/>
        <v>0</v>
      </c>
      <c r="P343" s="141">
        <f t="shared" si="7"/>
        <v>0</v>
      </c>
      <c r="Q343" s="135"/>
    </row>
    <row r="344" spans="2:17" x14ac:dyDescent="0.2">
      <c r="B344" s="133">
        <f t="shared" ref="B344:F349" si="8">B39</f>
        <v>0</v>
      </c>
      <c r="C344" s="134" t="str">
        <f t="shared" si="8"/>
        <v>סה"כ מפעלים</v>
      </c>
      <c r="D344" s="200">
        <f t="shared" si="8"/>
        <v>14</v>
      </c>
      <c r="E344" s="201">
        <f t="shared" si="8"/>
        <v>0</v>
      </c>
      <c r="F344" s="200">
        <f t="shared" si="8"/>
        <v>2710</v>
      </c>
      <c r="G344" s="202"/>
      <c r="H344" s="200">
        <f t="shared" ref="H344:Q344" si="9">H39</f>
        <v>677.5</v>
      </c>
      <c r="I344" s="201">
        <f t="shared" si="9"/>
        <v>0</v>
      </c>
      <c r="J344" s="200">
        <f t="shared" si="9"/>
        <v>13.23</v>
      </c>
      <c r="K344" s="201">
        <f t="shared" si="9"/>
        <v>0</v>
      </c>
      <c r="L344" s="200">
        <f t="shared" si="9"/>
        <v>623</v>
      </c>
      <c r="M344" s="201">
        <f t="shared" si="9"/>
        <v>0</v>
      </c>
      <c r="N344" s="200">
        <f t="shared" si="9"/>
        <v>0.77000000000000046</v>
      </c>
      <c r="O344" s="134">
        <f t="shared" si="9"/>
        <v>0</v>
      </c>
      <c r="P344" s="200">
        <f t="shared" si="9"/>
        <v>54.5</v>
      </c>
      <c r="Q344" s="135">
        <f t="shared" si="9"/>
        <v>0</v>
      </c>
    </row>
    <row r="345" spans="2:17" ht="2.25" customHeight="1" x14ac:dyDescent="0.2">
      <c r="B345" s="133">
        <f t="shared" si="8"/>
        <v>0</v>
      </c>
      <c r="C345" s="199">
        <f t="shared" si="8"/>
        <v>0</v>
      </c>
      <c r="D345" s="134">
        <f t="shared" si="8"/>
        <v>0</v>
      </c>
      <c r="E345" s="134">
        <f t="shared" si="8"/>
        <v>0</v>
      </c>
      <c r="F345" s="134">
        <f t="shared" si="8"/>
        <v>0</v>
      </c>
      <c r="G345" s="134"/>
      <c r="H345" s="134">
        <f t="shared" ref="H345:Q345" si="10">H40</f>
        <v>0</v>
      </c>
      <c r="I345" s="134">
        <f t="shared" si="10"/>
        <v>0</v>
      </c>
      <c r="J345" s="134">
        <f t="shared" si="10"/>
        <v>0</v>
      </c>
      <c r="K345" s="134">
        <f t="shared" si="10"/>
        <v>0</v>
      </c>
      <c r="L345" s="134">
        <f t="shared" si="10"/>
        <v>0</v>
      </c>
      <c r="M345" s="134">
        <f t="shared" si="10"/>
        <v>0</v>
      </c>
      <c r="N345" s="134">
        <f t="shared" si="10"/>
        <v>0</v>
      </c>
      <c r="O345" s="134">
        <f t="shared" si="10"/>
        <v>0</v>
      </c>
      <c r="P345" s="134">
        <f t="shared" si="10"/>
        <v>0</v>
      </c>
      <c r="Q345" s="135">
        <f t="shared" si="10"/>
        <v>0</v>
      </c>
    </row>
    <row r="346" spans="2:17" x14ac:dyDescent="0.2">
      <c r="B346" s="133">
        <f t="shared" si="8"/>
        <v>0</v>
      </c>
      <c r="C346" s="134" t="str">
        <f t="shared" si="8"/>
        <v>גימלאים</v>
      </c>
      <c r="D346" s="137">
        <f t="shared" si="8"/>
        <v>37.5</v>
      </c>
      <c r="E346" s="134">
        <f t="shared" si="8"/>
        <v>0</v>
      </c>
      <c r="F346" s="137">
        <f t="shared" si="8"/>
        <v>5272</v>
      </c>
      <c r="G346" s="137"/>
      <c r="H346" s="137">
        <f t="shared" ref="H346:Q346" si="11">H41</f>
        <v>1318</v>
      </c>
      <c r="I346" s="134">
        <f t="shared" si="11"/>
        <v>0</v>
      </c>
      <c r="J346" s="137">
        <f t="shared" si="11"/>
        <v>34.67</v>
      </c>
      <c r="K346" s="134">
        <f t="shared" si="11"/>
        <v>0</v>
      </c>
      <c r="L346" s="137">
        <f t="shared" si="11"/>
        <v>1435</v>
      </c>
      <c r="M346" s="134">
        <f t="shared" si="11"/>
        <v>0</v>
      </c>
      <c r="N346" s="138">
        <f t="shared" si="11"/>
        <v>2.8299999999999983</v>
      </c>
      <c r="O346" s="134">
        <f t="shared" si="11"/>
        <v>0</v>
      </c>
      <c r="P346" s="138">
        <f t="shared" si="11"/>
        <v>-117</v>
      </c>
      <c r="Q346" s="135">
        <f t="shared" si="11"/>
        <v>0</v>
      </c>
    </row>
    <row r="347" spans="2:17" ht="2.25" customHeight="1" x14ac:dyDescent="0.2">
      <c r="B347" s="133">
        <f t="shared" si="8"/>
        <v>0</v>
      </c>
      <c r="C347" s="199">
        <f t="shared" si="8"/>
        <v>0</v>
      </c>
      <c r="D347" s="134">
        <f t="shared" si="8"/>
        <v>0</v>
      </c>
      <c r="E347" s="134">
        <f t="shared" si="8"/>
        <v>0</v>
      </c>
      <c r="F347" s="134">
        <f t="shared" si="8"/>
        <v>0</v>
      </c>
      <c r="G347" s="134"/>
      <c r="H347" s="134">
        <f t="shared" ref="H347:Q347" si="12">H42</f>
        <v>0</v>
      </c>
      <c r="I347" s="134">
        <f t="shared" si="12"/>
        <v>0</v>
      </c>
      <c r="J347" s="134">
        <f t="shared" si="12"/>
        <v>0</v>
      </c>
      <c r="K347" s="134">
        <f t="shared" si="12"/>
        <v>0</v>
      </c>
      <c r="L347" s="134">
        <f t="shared" si="12"/>
        <v>0</v>
      </c>
      <c r="M347" s="134">
        <f t="shared" si="12"/>
        <v>0</v>
      </c>
      <c r="N347" s="134">
        <f t="shared" si="12"/>
        <v>0</v>
      </c>
      <c r="O347" s="134">
        <f t="shared" si="12"/>
        <v>0</v>
      </c>
      <c r="P347" s="134">
        <f t="shared" si="12"/>
        <v>0</v>
      </c>
      <c r="Q347" s="135">
        <f t="shared" si="12"/>
        <v>0</v>
      </c>
    </row>
    <row r="348" spans="2:17" ht="13.5" thickBot="1" x14ac:dyDescent="0.25">
      <c r="B348" s="133">
        <f t="shared" si="8"/>
        <v>0</v>
      </c>
      <c r="C348" s="203" t="str">
        <f t="shared" si="8"/>
        <v>סה"כ כללי</v>
      </c>
      <c r="D348" s="204">
        <f t="shared" si="8"/>
        <v>323.09999999999997</v>
      </c>
      <c r="E348" s="201">
        <f t="shared" si="8"/>
        <v>0</v>
      </c>
      <c r="F348" s="204">
        <f t="shared" si="8"/>
        <v>60205</v>
      </c>
      <c r="G348" s="205"/>
      <c r="H348" s="204">
        <f t="shared" ref="H348:Q348" si="13">H43</f>
        <v>15051.25</v>
      </c>
      <c r="I348" s="134">
        <f t="shared" si="13"/>
        <v>0</v>
      </c>
      <c r="J348" s="204">
        <f t="shared" si="13"/>
        <v>312.63</v>
      </c>
      <c r="K348" s="134">
        <f t="shared" si="13"/>
        <v>0</v>
      </c>
      <c r="L348" s="204">
        <f t="shared" si="13"/>
        <v>14440</v>
      </c>
      <c r="M348" s="134">
        <f t="shared" si="13"/>
        <v>0</v>
      </c>
      <c r="N348" s="204">
        <f t="shared" si="13"/>
        <v>10.46999999999997</v>
      </c>
      <c r="O348" s="134">
        <f t="shared" si="13"/>
        <v>0</v>
      </c>
      <c r="P348" s="204">
        <f t="shared" si="13"/>
        <v>611.25</v>
      </c>
      <c r="Q348" s="135">
        <f t="shared" si="13"/>
        <v>0</v>
      </c>
    </row>
    <row r="349" spans="2:17" ht="19.5" customHeight="1" thickTop="1" x14ac:dyDescent="0.2">
      <c r="B349" s="133">
        <f t="shared" si="8"/>
        <v>0</v>
      </c>
      <c r="C349" s="134">
        <f t="shared" si="8"/>
        <v>0</v>
      </c>
      <c r="D349" s="140">
        <f t="shared" si="8"/>
        <v>0</v>
      </c>
      <c r="E349" s="134">
        <f t="shared" si="8"/>
        <v>0</v>
      </c>
      <c r="F349" s="140">
        <f t="shared" si="8"/>
        <v>0</v>
      </c>
      <c r="G349" s="137"/>
      <c r="H349" s="140">
        <f t="shared" ref="H349:P349" si="14">H44</f>
        <v>0</v>
      </c>
      <c r="I349" s="134">
        <f t="shared" si="14"/>
        <v>0</v>
      </c>
      <c r="J349" s="140">
        <f t="shared" si="14"/>
        <v>0</v>
      </c>
      <c r="K349" s="134">
        <f t="shared" si="14"/>
        <v>0</v>
      </c>
      <c r="L349" s="140">
        <f t="shared" si="14"/>
        <v>0</v>
      </c>
      <c r="M349" s="134">
        <f t="shared" si="14"/>
        <v>0</v>
      </c>
      <c r="N349" s="141">
        <f t="shared" si="14"/>
        <v>0</v>
      </c>
      <c r="O349" s="134">
        <f t="shared" si="14"/>
        <v>0</v>
      </c>
      <c r="P349" s="141">
        <f t="shared" si="14"/>
        <v>0</v>
      </c>
      <c r="Q349" s="135"/>
    </row>
    <row r="350" spans="2:17" ht="15" x14ac:dyDescent="0.2">
      <c r="B350" s="133">
        <f>B45</f>
        <v>0</v>
      </c>
      <c r="C350" s="509" t="str">
        <f>C45</f>
        <v>רכישת שרותי כוח אדם</v>
      </c>
      <c r="D350" s="510"/>
      <c r="E350" s="510">
        <f>E45</f>
        <v>0</v>
      </c>
      <c r="F350" s="511" t="str">
        <f>D45</f>
        <v>תקציב 2017</v>
      </c>
      <c r="G350" s="510"/>
      <c r="H350" s="510">
        <f>H45</f>
        <v>0</v>
      </c>
      <c r="I350" s="134">
        <f>I45</f>
        <v>0</v>
      </c>
      <c r="J350" s="510"/>
      <c r="K350" s="510">
        <f>K45</f>
        <v>0</v>
      </c>
      <c r="L350" s="511" t="str">
        <f>CONCATENATE("ביצוע ",Shana)</f>
        <v>ביצוע 2017</v>
      </c>
      <c r="M350" s="510">
        <f t="shared" ref="M350:Q351" si="15">M45</f>
        <v>0</v>
      </c>
      <c r="N350" s="510">
        <f t="shared" si="15"/>
        <v>0</v>
      </c>
      <c r="O350" s="134">
        <f t="shared" si="15"/>
        <v>0</v>
      </c>
      <c r="P350" s="511" t="str">
        <f t="shared" si="15"/>
        <v>הפרש עלויות</v>
      </c>
      <c r="Q350" s="135">
        <f t="shared" si="15"/>
        <v>0</v>
      </c>
    </row>
    <row r="351" spans="2:17" ht="25.5" x14ac:dyDescent="0.2">
      <c r="B351" s="133">
        <f>B46</f>
        <v>0</v>
      </c>
      <c r="C351" s="134">
        <f>C46</f>
        <v>0</v>
      </c>
      <c r="D351" s="518" t="str">
        <f>D46</f>
        <v>מספר מועסקים</v>
      </c>
      <c r="E351" s="514">
        <f>E46</f>
        <v>0</v>
      </c>
      <c r="F351" s="518" t="str">
        <f>F46</f>
        <v>עלות כוללת</v>
      </c>
      <c r="G351" s="518"/>
      <c r="H351" s="518" t="str">
        <f>H46</f>
        <v>מספר שעות העסקה</v>
      </c>
      <c r="I351" s="514">
        <f>I46</f>
        <v>0</v>
      </c>
      <c r="J351" s="518" t="str">
        <f>J46</f>
        <v>מספר מועסקים</v>
      </c>
      <c r="K351" s="514">
        <f>K46</f>
        <v>0</v>
      </c>
      <c r="L351" s="518" t="str">
        <f>L46</f>
        <v>עלות כוללת</v>
      </c>
      <c r="M351" s="514">
        <f t="shared" si="15"/>
        <v>0</v>
      </c>
      <c r="N351" s="515" t="str">
        <f t="shared" si="15"/>
        <v>מספר שעות העסקה</v>
      </c>
      <c r="O351" s="512">
        <f t="shared" si="15"/>
        <v>0</v>
      </c>
      <c r="P351" s="513">
        <f t="shared" si="15"/>
        <v>0</v>
      </c>
      <c r="Q351" s="135">
        <f t="shared" si="15"/>
        <v>0</v>
      </c>
    </row>
    <row r="352" spans="2:17" x14ac:dyDescent="0.2">
      <c r="B352" s="133">
        <f t="shared" ref="B352:F358" si="16">B48</f>
        <v>0</v>
      </c>
      <c r="C352" s="134" t="str">
        <f t="shared" si="16"/>
        <v>יועצים חיצוניים</v>
      </c>
      <c r="D352" s="140">
        <f t="shared" si="16"/>
        <v>0</v>
      </c>
      <c r="E352" s="134">
        <f t="shared" si="16"/>
        <v>0</v>
      </c>
      <c r="F352" s="140">
        <f t="shared" si="16"/>
        <v>0</v>
      </c>
      <c r="G352" s="137"/>
      <c r="H352" s="140">
        <f t="shared" ref="H352:Q358" si="17">H48</f>
        <v>0</v>
      </c>
      <c r="I352" s="134">
        <f t="shared" si="17"/>
        <v>0</v>
      </c>
      <c r="J352" s="140">
        <f t="shared" si="17"/>
        <v>0</v>
      </c>
      <c r="K352" s="134">
        <f t="shared" si="17"/>
        <v>0</v>
      </c>
      <c r="L352" s="140">
        <f t="shared" si="17"/>
        <v>0</v>
      </c>
      <c r="M352" s="134">
        <f t="shared" si="17"/>
        <v>0</v>
      </c>
      <c r="N352" s="141">
        <f t="shared" si="17"/>
        <v>0</v>
      </c>
      <c r="O352" s="134">
        <f t="shared" si="17"/>
        <v>0</v>
      </c>
      <c r="P352" s="141">
        <f t="shared" si="17"/>
        <v>0</v>
      </c>
      <c r="Q352" s="135">
        <f t="shared" si="17"/>
        <v>0</v>
      </c>
    </row>
    <row r="353" spans="2:17" x14ac:dyDescent="0.2">
      <c r="B353" s="133">
        <f t="shared" si="16"/>
        <v>0</v>
      </c>
      <c r="C353" s="134" t="str">
        <f t="shared" si="16"/>
        <v>שירותי כוח אדם מקבלן כ"א</v>
      </c>
      <c r="D353" s="520">
        <f t="shared" si="16"/>
        <v>0</v>
      </c>
      <c r="E353" s="134">
        <f t="shared" si="16"/>
        <v>0</v>
      </c>
      <c r="F353" s="520">
        <f t="shared" si="16"/>
        <v>0</v>
      </c>
      <c r="G353" s="202"/>
      <c r="H353" s="520">
        <f t="shared" si="17"/>
        <v>0</v>
      </c>
      <c r="I353" s="134">
        <f t="shared" si="17"/>
        <v>0</v>
      </c>
      <c r="J353" s="520">
        <f t="shared" si="17"/>
        <v>0</v>
      </c>
      <c r="K353" s="134">
        <f t="shared" si="17"/>
        <v>0</v>
      </c>
      <c r="L353" s="520">
        <f t="shared" si="17"/>
        <v>0</v>
      </c>
      <c r="M353" s="134">
        <f t="shared" si="17"/>
        <v>0</v>
      </c>
      <c r="N353" s="520">
        <f t="shared" si="17"/>
        <v>0</v>
      </c>
      <c r="O353" s="134">
        <f t="shared" si="17"/>
        <v>0</v>
      </c>
      <c r="P353" s="520">
        <f t="shared" si="17"/>
        <v>0</v>
      </c>
      <c r="Q353" s="135">
        <f t="shared" si="17"/>
        <v>0</v>
      </c>
    </row>
    <row r="354" spans="2:17" ht="4.5" customHeight="1" x14ac:dyDescent="0.2">
      <c r="B354" s="133">
        <f t="shared" si="16"/>
        <v>0</v>
      </c>
      <c r="C354" s="134">
        <f t="shared" si="16"/>
        <v>0</v>
      </c>
      <c r="D354" s="134">
        <f t="shared" si="16"/>
        <v>0</v>
      </c>
      <c r="E354" s="134">
        <f t="shared" si="16"/>
        <v>0</v>
      </c>
      <c r="F354" s="134">
        <f t="shared" si="16"/>
        <v>0</v>
      </c>
      <c r="G354" s="134"/>
      <c r="H354" s="134">
        <f t="shared" si="17"/>
        <v>0</v>
      </c>
      <c r="I354" s="134">
        <f t="shared" si="17"/>
        <v>0</v>
      </c>
      <c r="J354" s="134">
        <f t="shared" si="17"/>
        <v>0</v>
      </c>
      <c r="K354" s="134">
        <f t="shared" si="17"/>
        <v>0</v>
      </c>
      <c r="L354" s="134">
        <f t="shared" si="17"/>
        <v>0</v>
      </c>
      <c r="M354" s="134">
        <f t="shared" si="17"/>
        <v>0</v>
      </c>
      <c r="N354" s="134">
        <f t="shared" si="17"/>
        <v>0</v>
      </c>
      <c r="O354" s="134">
        <f t="shared" si="17"/>
        <v>0</v>
      </c>
      <c r="P354" s="134">
        <f t="shared" si="17"/>
        <v>0</v>
      </c>
      <c r="Q354" s="135">
        <f t="shared" si="17"/>
        <v>0</v>
      </c>
    </row>
    <row r="355" spans="2:17" ht="13.5" thickBot="1" x14ac:dyDescent="0.25">
      <c r="B355" s="133">
        <f t="shared" si="16"/>
        <v>0</v>
      </c>
      <c r="C355" s="203" t="str">
        <f t="shared" si="16"/>
        <v>סה"כ</v>
      </c>
      <c r="D355" s="204">
        <f t="shared" si="16"/>
        <v>0</v>
      </c>
      <c r="E355" s="201">
        <f t="shared" si="16"/>
        <v>0</v>
      </c>
      <c r="F355" s="204">
        <f t="shared" si="16"/>
        <v>0</v>
      </c>
      <c r="G355" s="205"/>
      <c r="H355" s="204">
        <f t="shared" si="17"/>
        <v>0</v>
      </c>
      <c r="I355" s="134">
        <f t="shared" si="17"/>
        <v>0</v>
      </c>
      <c r="J355" s="204">
        <f t="shared" si="17"/>
        <v>0</v>
      </c>
      <c r="K355" s="134">
        <f t="shared" si="17"/>
        <v>0</v>
      </c>
      <c r="L355" s="204">
        <f t="shared" si="17"/>
        <v>0</v>
      </c>
      <c r="M355" s="134">
        <f t="shared" si="17"/>
        <v>0</v>
      </c>
      <c r="N355" s="204">
        <f t="shared" si="17"/>
        <v>0</v>
      </c>
      <c r="O355" s="134">
        <f t="shared" si="17"/>
        <v>0</v>
      </c>
      <c r="P355" s="204">
        <f t="shared" si="17"/>
        <v>0</v>
      </c>
      <c r="Q355" s="135">
        <f t="shared" si="17"/>
        <v>0</v>
      </c>
    </row>
    <row r="356" spans="2:17" ht="3.75" customHeight="1" thickTop="1" x14ac:dyDescent="0.2">
      <c r="B356" s="133">
        <f t="shared" si="16"/>
        <v>0</v>
      </c>
      <c r="C356" s="134">
        <f t="shared" si="16"/>
        <v>0</v>
      </c>
      <c r="D356" s="134">
        <f t="shared" si="16"/>
        <v>0</v>
      </c>
      <c r="E356" s="134">
        <f t="shared" si="16"/>
        <v>0</v>
      </c>
      <c r="F356" s="134">
        <f t="shared" si="16"/>
        <v>0</v>
      </c>
      <c r="G356" s="134"/>
      <c r="H356" s="134">
        <f t="shared" si="17"/>
        <v>0</v>
      </c>
      <c r="I356" s="134">
        <f t="shared" si="17"/>
        <v>0</v>
      </c>
      <c r="J356" s="134">
        <f t="shared" si="17"/>
        <v>0</v>
      </c>
      <c r="K356" s="134">
        <f t="shared" si="17"/>
        <v>0</v>
      </c>
      <c r="L356" s="134">
        <f t="shared" si="17"/>
        <v>0</v>
      </c>
      <c r="M356" s="134">
        <f t="shared" si="17"/>
        <v>0</v>
      </c>
      <c r="N356" s="134">
        <f t="shared" si="17"/>
        <v>0</v>
      </c>
      <c r="O356" s="134">
        <f t="shared" si="17"/>
        <v>0</v>
      </c>
      <c r="P356" s="134">
        <f t="shared" si="17"/>
        <v>0</v>
      </c>
      <c r="Q356" s="135">
        <f t="shared" si="17"/>
        <v>0</v>
      </c>
    </row>
    <row r="357" spans="2:17" ht="1.5" customHeight="1" x14ac:dyDescent="0.2">
      <c r="B357" s="133">
        <f t="shared" si="16"/>
        <v>0</v>
      </c>
      <c r="C357" s="107">
        <f t="shared" si="16"/>
        <v>0</v>
      </c>
      <c r="D357" s="107">
        <f t="shared" si="16"/>
        <v>0</v>
      </c>
      <c r="E357" s="107">
        <f t="shared" si="16"/>
        <v>0</v>
      </c>
      <c r="F357" s="107">
        <f t="shared" si="16"/>
        <v>0</v>
      </c>
      <c r="H357" s="107">
        <f t="shared" si="17"/>
        <v>0</v>
      </c>
      <c r="I357" s="107">
        <f t="shared" si="17"/>
        <v>0</v>
      </c>
      <c r="J357" s="107">
        <f t="shared" si="17"/>
        <v>0</v>
      </c>
      <c r="K357" s="107">
        <f t="shared" si="17"/>
        <v>0</v>
      </c>
      <c r="L357" s="107">
        <f t="shared" si="17"/>
        <v>0</v>
      </c>
      <c r="M357" s="107">
        <f t="shared" si="17"/>
        <v>0</v>
      </c>
      <c r="N357" s="107">
        <f t="shared" si="17"/>
        <v>0</v>
      </c>
      <c r="O357" s="107">
        <f t="shared" si="17"/>
        <v>0</v>
      </c>
      <c r="P357" s="107">
        <f t="shared" si="17"/>
        <v>0</v>
      </c>
      <c r="Q357" s="107">
        <f t="shared" si="17"/>
        <v>0</v>
      </c>
    </row>
    <row r="358" spans="2:17" ht="1.5" customHeight="1" x14ac:dyDescent="0.2">
      <c r="B358" s="133">
        <f t="shared" si="16"/>
        <v>0</v>
      </c>
      <c r="C358" s="134">
        <f t="shared" si="16"/>
        <v>0</v>
      </c>
      <c r="D358" s="134">
        <f t="shared" si="16"/>
        <v>0</v>
      </c>
      <c r="E358" s="134">
        <f t="shared" si="16"/>
        <v>0</v>
      </c>
      <c r="F358" s="134">
        <f t="shared" si="16"/>
        <v>0</v>
      </c>
      <c r="G358" s="134"/>
      <c r="H358" s="134">
        <f t="shared" si="17"/>
        <v>0</v>
      </c>
      <c r="I358" s="134">
        <f t="shared" si="17"/>
        <v>0</v>
      </c>
      <c r="J358" s="134">
        <f t="shared" si="17"/>
        <v>0</v>
      </c>
      <c r="K358" s="134">
        <f t="shared" si="17"/>
        <v>0</v>
      </c>
      <c r="L358" s="134">
        <f t="shared" si="17"/>
        <v>0</v>
      </c>
      <c r="M358" s="134">
        <f t="shared" si="17"/>
        <v>0</v>
      </c>
      <c r="N358" s="134">
        <f t="shared" si="17"/>
        <v>0</v>
      </c>
      <c r="O358" s="134">
        <f t="shared" si="17"/>
        <v>0</v>
      </c>
      <c r="P358" s="134">
        <f t="shared" si="17"/>
        <v>0</v>
      </c>
      <c r="Q358" s="135">
        <f t="shared" si="17"/>
        <v>0</v>
      </c>
    </row>
    <row r="359" spans="2:17" ht="2.25" customHeight="1" x14ac:dyDescent="0.2"/>
    <row r="360" spans="2:17" ht="10.5" customHeight="1" x14ac:dyDescent="0.2">
      <c r="C360" s="147" t="str">
        <f>CONCATENATE("ביקורת:   ",BikoretCode)</f>
        <v xml:space="preserve">ביקורת:   </v>
      </c>
    </row>
  </sheetData>
  <sheetProtection password="83C1" sheet="1" objects="1" scenarios="1"/>
  <mergeCells count="15">
    <mergeCell ref="B305:P305"/>
    <mergeCell ref="D45:H45"/>
    <mergeCell ref="B306:P306"/>
    <mergeCell ref="B307:P307"/>
    <mergeCell ref="D311:F311"/>
    <mergeCell ref="J311:L311"/>
    <mergeCell ref="N311:P311"/>
    <mergeCell ref="J45:N45"/>
    <mergeCell ref="D1:Q1"/>
    <mergeCell ref="D2:Q2"/>
    <mergeCell ref="D3:Q3"/>
    <mergeCell ref="C5:P5"/>
    <mergeCell ref="D6:F6"/>
    <mergeCell ref="J6:L6"/>
    <mergeCell ref="N6:P6"/>
  </mergeCells>
  <phoneticPr fontId="58" type="noConversion"/>
  <hyperlinks>
    <hyperlink ref="A4" location="'תוכן הענינים'!A1" tooltip="לחץ להצגת גליון תוכן הענינים" display="הצג תוכן ענינים"/>
  </hyperlinks>
  <printOptions horizontalCentered="1"/>
  <pageMargins left="0.22" right="0.6" top="0.39" bottom="0.33" header="0.23" footer="0.21"/>
  <pageSetup paperSize="9" scale="83" orientation="landscape" blackAndWhite="1" r:id="rId1"/>
  <headerFooter alignWithMargins="0">
    <oddFooter>&amp;C&amp;P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3"/>
  <dimension ref="A1:AB339"/>
  <sheetViews>
    <sheetView showRowColHeaders="0" showZeros="0" rightToLeft="1" zoomScale="90" workbookViewId="0">
      <selection activeCell="A4" sqref="A4"/>
    </sheetView>
  </sheetViews>
  <sheetFormatPr defaultColWidth="9.140625" defaultRowHeight="12.75" x14ac:dyDescent="0.2"/>
  <cols>
    <col min="1" max="1" width="9.140625" style="107"/>
    <col min="2" max="2" width="18.42578125" style="107" customWidth="1"/>
    <col min="3" max="3" width="1.7109375" style="107" customWidth="1"/>
    <col min="4" max="4" width="12" style="107" bestFit="1" customWidth="1"/>
    <col min="5" max="5" width="1.7109375" style="107" customWidth="1"/>
    <col min="6" max="6" width="9.140625" style="107"/>
    <col min="7" max="7" width="1.7109375" style="107" customWidth="1"/>
    <col min="8" max="8" width="9.140625" style="107"/>
    <col min="9" max="9" width="1.7109375" style="107" customWidth="1"/>
    <col min="10" max="10" width="11.7109375" style="107" customWidth="1"/>
    <col min="11" max="11" width="1.7109375" style="107" customWidth="1"/>
    <col min="12" max="12" width="11.85546875" style="107" customWidth="1"/>
    <col min="13" max="13" width="1.7109375" style="107" customWidth="1"/>
    <col min="14" max="14" width="11.7109375" style="107" customWidth="1"/>
    <col min="15" max="15" width="1.7109375" style="107" customWidth="1"/>
    <col min="16" max="16" width="11.7109375" style="107" customWidth="1"/>
    <col min="17" max="17" width="1.7109375" style="107" customWidth="1"/>
    <col min="18" max="18" width="11.7109375" style="107" customWidth="1"/>
    <col min="19" max="19" width="1.7109375" style="107" customWidth="1"/>
    <col min="20" max="20" width="11.85546875" style="107" customWidth="1"/>
    <col min="21" max="21" width="1.7109375" style="107" customWidth="1"/>
    <col min="22" max="22" width="11.7109375" style="107" customWidth="1"/>
    <col min="23" max="23" width="1.7109375" style="107" customWidth="1"/>
    <col min="24" max="24" width="11.7109375" style="107" customWidth="1"/>
    <col min="25" max="26" width="0" style="107" hidden="1" customWidth="1"/>
    <col min="27" max="27" width="2.140625" style="107" customWidth="1"/>
    <col min="28" max="28" width="9.28515625" style="107" customWidth="1"/>
    <col min="29" max="16384" width="9.140625" style="107"/>
  </cols>
  <sheetData>
    <row r="1" spans="1:28" ht="19.5" thickTop="1" thickBo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639" t="str">
        <f>GufMevukar</f>
        <v>מ"א עמק הירדן</v>
      </c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1"/>
      <c r="Y1" s="106"/>
      <c r="Z1" s="106"/>
      <c r="AA1" s="106"/>
      <c r="AB1" s="106"/>
    </row>
    <row r="2" spans="1:28" ht="19.5" thickTop="1" thickBo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642" t="s">
        <v>685</v>
      </c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5"/>
      <c r="Y2" s="106"/>
      <c r="Z2" s="106"/>
      <c r="AA2" s="106"/>
      <c r="AB2" s="106"/>
    </row>
    <row r="3" spans="1:28" ht="19.5" thickTop="1" thickBot="1" x14ac:dyDescent="0.25">
      <c r="A3" s="106"/>
      <c r="B3" s="106"/>
      <c r="C3" s="106"/>
      <c r="D3" s="106"/>
      <c r="E3" s="106"/>
      <c r="F3" s="106"/>
      <c r="G3" s="106"/>
      <c r="H3" s="106"/>
      <c r="I3" s="106"/>
      <c r="J3" s="639" t="str">
        <f>ReportPeriod</f>
        <v>לתקופה: רבעון 1, שנת 2017</v>
      </c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0"/>
      <c r="X3" s="641"/>
      <c r="Y3" s="106"/>
      <c r="Z3" s="106"/>
      <c r="AA3" s="106"/>
      <c r="AB3" s="106"/>
    </row>
    <row r="4" spans="1:28" ht="13.5" thickTop="1" x14ac:dyDescent="0.2">
      <c r="A4" s="110" t="s">
        <v>584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2"/>
    </row>
    <row r="5" spans="1:28" x14ac:dyDescent="0.2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</row>
    <row r="6" spans="1:28" ht="25.5" customHeight="1" x14ac:dyDescent="0.25">
      <c r="A6" s="111"/>
      <c r="B6" s="177" t="str">
        <f>IF(Y38&lt;&gt;0,"חסר ערך בעמודה תיאור תפקיד","")</f>
        <v/>
      </c>
      <c r="C6" s="111"/>
      <c r="D6" s="578" t="str">
        <f>IF(OR('הגדרות כלליות'!D20=1,'הגדרות כלליות'!D20=3),CONCATENATE("דוח זה אינו נדרש ברבעון מספר "," ",'הגדרות כלליות'!D20),"")</f>
        <v>דוח זה אינו נדרש ברבעון מספר  1</v>
      </c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2"/>
    </row>
    <row r="7" spans="1:28" ht="36" customHeight="1" x14ac:dyDescent="0.2">
      <c r="A7" s="111"/>
      <c r="B7" s="113" t="s">
        <v>686</v>
      </c>
      <c r="C7" s="113"/>
      <c r="D7" s="114" t="s">
        <v>486</v>
      </c>
      <c r="E7" s="113"/>
      <c r="F7" s="113" t="s">
        <v>687</v>
      </c>
      <c r="G7" s="113"/>
      <c r="H7" s="113" t="s">
        <v>688</v>
      </c>
      <c r="I7" s="113"/>
      <c r="J7" s="113" t="s">
        <v>689</v>
      </c>
      <c r="K7" s="113"/>
      <c r="L7" s="113" t="s">
        <v>690</v>
      </c>
      <c r="M7" s="113"/>
      <c r="N7" s="113" t="s">
        <v>692</v>
      </c>
      <c r="O7" s="113"/>
      <c r="P7" s="113" t="s">
        <v>693</v>
      </c>
      <c r="Q7" s="113"/>
      <c r="R7" s="113" t="s">
        <v>694</v>
      </c>
      <c r="S7" s="113"/>
      <c r="T7" s="113" t="s">
        <v>695</v>
      </c>
      <c r="U7" s="113"/>
      <c r="V7" s="113" t="s">
        <v>696</v>
      </c>
      <c r="W7" s="113"/>
      <c r="X7" s="113" t="s">
        <v>697</v>
      </c>
      <c r="Y7" s="108"/>
      <c r="Z7" s="108"/>
      <c r="AA7" s="113"/>
      <c r="AB7" s="112"/>
    </row>
    <row r="8" spans="1:28" x14ac:dyDescent="0.2">
      <c r="A8" s="111"/>
      <c r="B8" s="151" t="s">
        <v>974</v>
      </c>
      <c r="C8" s="116"/>
      <c r="D8" s="587" t="s">
        <v>975</v>
      </c>
      <c r="E8" s="116"/>
      <c r="F8" s="119">
        <v>5</v>
      </c>
      <c r="G8" s="116"/>
      <c r="H8" s="119">
        <v>3</v>
      </c>
      <c r="I8" s="116"/>
      <c r="J8" s="119">
        <v>325480.45</v>
      </c>
      <c r="K8" s="116"/>
      <c r="L8" s="119"/>
      <c r="M8" s="116"/>
      <c r="N8" s="119"/>
      <c r="O8" s="116"/>
      <c r="P8" s="119">
        <v>12357.6</v>
      </c>
      <c r="Q8" s="116"/>
      <c r="R8" s="119">
        <v>7291.35</v>
      </c>
      <c r="S8" s="116"/>
      <c r="T8" s="120">
        <f t="shared" ref="T8:T37" si="0">J8+L8+N8+P8+R8</f>
        <v>345129.39999999997</v>
      </c>
      <c r="U8" s="116"/>
      <c r="V8" s="119">
        <v>137745.66</v>
      </c>
      <c r="W8" s="116"/>
      <c r="X8" s="120">
        <f t="shared" ref="X8:X37" si="1">V8+T8</f>
        <v>482875.05999999994</v>
      </c>
      <c r="Y8" s="108">
        <f t="shared" ref="Y8:Y37" si="2">IF(AND($B8=0,OR($J8&lt;&gt;0,$L8&lt;&gt;0,$N8&lt;&gt;0,$P8&lt;&gt;0,$R8&lt;&gt;0,$V8&lt;&gt;0)),1,0)</f>
        <v>0</v>
      </c>
      <c r="Z8" s="108">
        <f t="shared" ref="Z8:Z36" si="3">IF(X8 &lt;&gt;0,X8,"")</f>
        <v>482875.05999999994</v>
      </c>
      <c r="AA8" s="117"/>
      <c r="AB8" s="112"/>
    </row>
    <row r="9" spans="1:28" x14ac:dyDescent="0.2">
      <c r="A9" s="111"/>
      <c r="B9" s="151" t="s">
        <v>976</v>
      </c>
      <c r="C9" s="116"/>
      <c r="D9" s="587" t="s">
        <v>977</v>
      </c>
      <c r="E9" s="116"/>
      <c r="F9" s="119">
        <v>5</v>
      </c>
      <c r="G9" s="116"/>
      <c r="H9" s="119">
        <v>3</v>
      </c>
      <c r="I9" s="116"/>
      <c r="J9" s="119">
        <v>355264.8</v>
      </c>
      <c r="K9" s="116"/>
      <c r="L9" s="119">
        <v>-65937.350000000006</v>
      </c>
      <c r="M9" s="116"/>
      <c r="N9" s="119">
        <v>3023.25</v>
      </c>
      <c r="O9" s="116"/>
      <c r="P9" s="119">
        <v>10406.4</v>
      </c>
      <c r="Q9" s="116"/>
      <c r="R9" s="119">
        <v>4311.1499999999996</v>
      </c>
      <c r="S9" s="116"/>
      <c r="T9" s="120">
        <f t="shared" si="0"/>
        <v>307068.25</v>
      </c>
      <c r="U9" s="116"/>
      <c r="V9" s="119">
        <v>124634.27</v>
      </c>
      <c r="W9" s="116"/>
      <c r="X9" s="120">
        <f t="shared" si="1"/>
        <v>431702.52</v>
      </c>
      <c r="Y9" s="108">
        <f t="shared" si="2"/>
        <v>0</v>
      </c>
      <c r="Z9" s="108">
        <f t="shared" si="3"/>
        <v>431702.52</v>
      </c>
      <c r="AA9" s="117"/>
      <c r="AB9" s="112"/>
    </row>
    <row r="10" spans="1:28" x14ac:dyDescent="0.2">
      <c r="A10" s="111"/>
      <c r="B10" s="151" t="s">
        <v>978</v>
      </c>
      <c r="C10" s="116"/>
      <c r="D10" s="587" t="s">
        <v>979</v>
      </c>
      <c r="E10" s="116"/>
      <c r="F10" s="119">
        <v>1</v>
      </c>
      <c r="G10" s="116"/>
      <c r="H10" s="119">
        <v>40</v>
      </c>
      <c r="I10" s="116"/>
      <c r="J10" s="119">
        <v>58051.8</v>
      </c>
      <c r="K10" s="116"/>
      <c r="L10" s="119">
        <v>37071.199999999997</v>
      </c>
      <c r="M10" s="116"/>
      <c r="N10" s="119">
        <v>179002.2</v>
      </c>
      <c r="O10" s="116"/>
      <c r="P10" s="119">
        <v>1427.2</v>
      </c>
      <c r="Q10" s="116"/>
      <c r="R10" s="119">
        <v>14241.75</v>
      </c>
      <c r="S10" s="116"/>
      <c r="T10" s="120">
        <f t="shared" si="0"/>
        <v>289794.15000000002</v>
      </c>
      <c r="U10" s="116"/>
      <c r="V10" s="119">
        <v>76393.58</v>
      </c>
      <c r="W10" s="116"/>
      <c r="X10" s="120">
        <f t="shared" si="1"/>
        <v>366187.73000000004</v>
      </c>
      <c r="Y10" s="108">
        <f t="shared" si="2"/>
        <v>0</v>
      </c>
      <c r="Z10" s="108">
        <f t="shared" si="3"/>
        <v>366187.73000000004</v>
      </c>
      <c r="AA10" s="117"/>
      <c r="AB10" s="112"/>
    </row>
    <row r="11" spans="1:28" x14ac:dyDescent="0.2">
      <c r="A11" s="111"/>
      <c r="B11" s="153" t="s">
        <v>978</v>
      </c>
      <c r="C11" s="116"/>
      <c r="D11" s="587" t="s">
        <v>980</v>
      </c>
      <c r="E11" s="116"/>
      <c r="F11" s="119">
        <v>1</v>
      </c>
      <c r="G11" s="116"/>
      <c r="H11" s="178">
        <v>10</v>
      </c>
      <c r="I11" s="116"/>
      <c r="J11" s="178">
        <v>53109</v>
      </c>
      <c r="K11" s="116"/>
      <c r="L11" s="178">
        <v>34909.35</v>
      </c>
      <c r="M11" s="116"/>
      <c r="N11" s="178">
        <v>170010.9</v>
      </c>
      <c r="O11" s="116"/>
      <c r="P11" s="178">
        <v>1467.2</v>
      </c>
      <c r="Q11" s="116"/>
      <c r="R11" s="178">
        <v>15884.3</v>
      </c>
      <c r="S11" s="116"/>
      <c r="T11" s="120">
        <f t="shared" si="0"/>
        <v>275380.75</v>
      </c>
      <c r="U11" s="116"/>
      <c r="V11" s="119">
        <v>72078</v>
      </c>
      <c r="W11" s="116"/>
      <c r="X11" s="120">
        <f t="shared" si="1"/>
        <v>347458.75</v>
      </c>
      <c r="Y11" s="108">
        <f t="shared" si="2"/>
        <v>0</v>
      </c>
      <c r="Z11" s="108">
        <f t="shared" si="3"/>
        <v>347458.75</v>
      </c>
      <c r="AA11" s="117"/>
      <c r="AB11" s="112"/>
    </row>
    <row r="12" spans="1:28" x14ac:dyDescent="0.2">
      <c r="A12" s="111"/>
      <c r="B12" s="153" t="s">
        <v>981</v>
      </c>
      <c r="C12" s="116"/>
      <c r="D12" s="587" t="s">
        <v>982</v>
      </c>
      <c r="E12" s="116"/>
      <c r="F12" s="119">
        <v>5</v>
      </c>
      <c r="G12" s="116"/>
      <c r="H12" s="119">
        <v>3</v>
      </c>
      <c r="I12" s="116"/>
      <c r="J12" s="119">
        <v>256958.25</v>
      </c>
      <c r="K12" s="116"/>
      <c r="L12" s="119"/>
      <c r="M12" s="116"/>
      <c r="N12" s="119"/>
      <c r="O12" s="116"/>
      <c r="P12" s="119">
        <v>9756</v>
      </c>
      <c r="Q12" s="116"/>
      <c r="R12" s="119">
        <v>7348.75</v>
      </c>
      <c r="S12" s="116"/>
      <c r="T12" s="120">
        <f t="shared" si="0"/>
        <v>274063</v>
      </c>
      <c r="U12" s="116"/>
      <c r="V12" s="119">
        <v>66571.520000000004</v>
      </c>
      <c r="W12" s="116"/>
      <c r="X12" s="120">
        <f t="shared" si="1"/>
        <v>340634.52</v>
      </c>
      <c r="Y12" s="108">
        <f t="shared" si="2"/>
        <v>0</v>
      </c>
      <c r="Z12" s="108">
        <f t="shared" si="3"/>
        <v>340634.52</v>
      </c>
      <c r="AA12" s="117"/>
      <c r="AB12" s="112"/>
    </row>
    <row r="13" spans="1:28" x14ac:dyDescent="0.2">
      <c r="A13" s="111"/>
      <c r="B13" s="153" t="s">
        <v>978</v>
      </c>
      <c r="C13" s="116"/>
      <c r="D13" s="587" t="s">
        <v>983</v>
      </c>
      <c r="E13" s="116"/>
      <c r="F13" s="119">
        <v>1</v>
      </c>
      <c r="G13" s="116"/>
      <c r="H13" s="119">
        <v>10</v>
      </c>
      <c r="I13" s="116"/>
      <c r="J13" s="119">
        <v>55045.2</v>
      </c>
      <c r="K13" s="116"/>
      <c r="L13" s="119">
        <v>31792.45</v>
      </c>
      <c r="M13" s="116"/>
      <c r="N13" s="119">
        <v>166082.79999999999</v>
      </c>
      <c r="O13" s="116"/>
      <c r="P13" s="119">
        <v>1487.2</v>
      </c>
      <c r="Q13" s="116"/>
      <c r="R13" s="119">
        <v>15358</v>
      </c>
      <c r="S13" s="116"/>
      <c r="T13" s="120">
        <f t="shared" si="0"/>
        <v>269765.65000000002</v>
      </c>
      <c r="U13" s="116"/>
      <c r="V13" s="119">
        <v>70368.320000000007</v>
      </c>
      <c r="W13" s="116"/>
      <c r="X13" s="120">
        <f t="shared" si="1"/>
        <v>340133.97000000003</v>
      </c>
      <c r="Y13" s="108">
        <f t="shared" si="2"/>
        <v>0</v>
      </c>
      <c r="Z13" s="108">
        <f t="shared" si="3"/>
        <v>340133.97000000003</v>
      </c>
      <c r="AA13" s="117"/>
      <c r="AB13" s="112"/>
    </row>
    <row r="14" spans="1:28" x14ac:dyDescent="0.2">
      <c r="A14" s="111"/>
      <c r="B14" s="153" t="s">
        <v>978</v>
      </c>
      <c r="C14" s="116"/>
      <c r="D14" s="587" t="s">
        <v>984</v>
      </c>
      <c r="E14" s="116"/>
      <c r="F14" s="119">
        <v>1</v>
      </c>
      <c r="G14" s="116"/>
      <c r="H14" s="119">
        <v>40</v>
      </c>
      <c r="I14" s="116"/>
      <c r="J14" s="119">
        <v>64631.4</v>
      </c>
      <c r="K14" s="116"/>
      <c r="L14" s="119">
        <v>31370.9</v>
      </c>
      <c r="M14" s="116"/>
      <c r="N14" s="119">
        <v>148326.54999999999</v>
      </c>
      <c r="O14" s="116"/>
      <c r="P14" s="119">
        <v>1427.2</v>
      </c>
      <c r="Q14" s="116"/>
      <c r="R14" s="119">
        <v>22420.95</v>
      </c>
      <c r="S14" s="116"/>
      <c r="T14" s="120">
        <f t="shared" si="0"/>
        <v>268177</v>
      </c>
      <c r="U14" s="116"/>
      <c r="V14" s="119">
        <v>69336.89</v>
      </c>
      <c r="W14" s="116"/>
      <c r="X14" s="120">
        <f t="shared" si="1"/>
        <v>337513.89</v>
      </c>
      <c r="Y14" s="108">
        <f t="shared" si="2"/>
        <v>0</v>
      </c>
      <c r="Z14" s="108">
        <f t="shared" si="3"/>
        <v>337513.89</v>
      </c>
      <c r="AA14" s="117"/>
      <c r="AB14" s="112"/>
    </row>
    <row r="15" spans="1:28" x14ac:dyDescent="0.2">
      <c r="A15" s="111"/>
      <c r="B15" s="153" t="s">
        <v>978</v>
      </c>
      <c r="C15" s="116"/>
      <c r="D15" s="587" t="s">
        <v>985</v>
      </c>
      <c r="E15" s="116"/>
      <c r="F15" s="119">
        <v>1</v>
      </c>
      <c r="G15" s="116"/>
      <c r="H15" s="119">
        <v>10</v>
      </c>
      <c r="I15" s="116"/>
      <c r="J15" s="119">
        <v>54274.2</v>
      </c>
      <c r="K15" s="116"/>
      <c r="L15" s="119">
        <v>31089.55</v>
      </c>
      <c r="M15" s="116"/>
      <c r="N15" s="119">
        <v>164396.5</v>
      </c>
      <c r="O15" s="116"/>
      <c r="P15" s="119">
        <v>1447.2</v>
      </c>
      <c r="Q15" s="116"/>
      <c r="R15" s="119">
        <v>15525.85</v>
      </c>
      <c r="S15" s="116"/>
      <c r="T15" s="120">
        <f t="shared" si="0"/>
        <v>266733.3</v>
      </c>
      <c r="U15" s="116"/>
      <c r="V15" s="119">
        <v>69312.740000000005</v>
      </c>
      <c r="W15" s="116"/>
      <c r="X15" s="120">
        <f t="shared" si="1"/>
        <v>336046.04</v>
      </c>
      <c r="Y15" s="108">
        <f t="shared" si="2"/>
        <v>0</v>
      </c>
      <c r="Z15" s="108">
        <f t="shared" si="3"/>
        <v>336046.04</v>
      </c>
      <c r="AA15" s="117"/>
      <c r="AB15" s="112"/>
    </row>
    <row r="16" spans="1:28" x14ac:dyDescent="0.2">
      <c r="A16" s="111"/>
      <c r="B16" s="153" t="s">
        <v>986</v>
      </c>
      <c r="C16" s="116"/>
      <c r="D16" s="587" t="s">
        <v>987</v>
      </c>
      <c r="E16" s="116"/>
      <c r="F16" s="119">
        <v>5</v>
      </c>
      <c r="G16" s="116"/>
      <c r="H16" s="119">
        <v>3</v>
      </c>
      <c r="I16" s="116"/>
      <c r="J16" s="119">
        <v>234678.45</v>
      </c>
      <c r="K16" s="116"/>
      <c r="L16" s="178"/>
      <c r="M16" s="116"/>
      <c r="N16" s="119"/>
      <c r="O16" s="116"/>
      <c r="P16" s="119">
        <v>9918.6</v>
      </c>
      <c r="Q16" s="116"/>
      <c r="R16" s="119">
        <v>45581.05</v>
      </c>
      <c r="S16" s="116"/>
      <c r="T16" s="120">
        <f t="shared" si="0"/>
        <v>290178.10000000003</v>
      </c>
      <c r="U16" s="116"/>
      <c r="V16" s="119">
        <v>112695.88</v>
      </c>
      <c r="W16" s="116"/>
      <c r="X16" s="120">
        <f t="shared" si="1"/>
        <v>402873.98000000004</v>
      </c>
      <c r="Y16" s="108">
        <f t="shared" si="2"/>
        <v>0</v>
      </c>
      <c r="Z16" s="108">
        <f t="shared" si="3"/>
        <v>402873.98000000004</v>
      </c>
      <c r="AA16" s="117"/>
      <c r="AB16" s="112"/>
    </row>
    <row r="17" spans="1:28" x14ac:dyDescent="0.2">
      <c r="A17" s="111"/>
      <c r="B17" s="153" t="s">
        <v>988</v>
      </c>
      <c r="C17" s="116"/>
      <c r="D17" s="587" t="s">
        <v>989</v>
      </c>
      <c r="E17" s="116"/>
      <c r="F17" s="119">
        <v>5</v>
      </c>
      <c r="G17" s="116"/>
      <c r="H17" s="119">
        <v>3</v>
      </c>
      <c r="I17" s="116"/>
      <c r="J17" s="119">
        <v>239827.7</v>
      </c>
      <c r="K17" s="116"/>
      <c r="L17" s="119"/>
      <c r="M17" s="116"/>
      <c r="N17" s="119"/>
      <c r="O17" s="116"/>
      <c r="P17" s="119">
        <v>9105.6</v>
      </c>
      <c r="Q17" s="116"/>
      <c r="R17" s="119">
        <v>7363.1</v>
      </c>
      <c r="S17" s="116"/>
      <c r="T17" s="120">
        <f t="shared" si="0"/>
        <v>256296.40000000002</v>
      </c>
      <c r="U17" s="116"/>
      <c r="V17" s="119">
        <v>101390.12</v>
      </c>
      <c r="W17" s="116"/>
      <c r="X17" s="120">
        <f t="shared" si="1"/>
        <v>357686.52</v>
      </c>
      <c r="Y17" s="108">
        <f t="shared" si="2"/>
        <v>0</v>
      </c>
      <c r="Z17" s="108">
        <f t="shared" si="3"/>
        <v>357686.52</v>
      </c>
      <c r="AA17" s="117"/>
      <c r="AB17" s="112"/>
    </row>
    <row r="18" spans="1:28" x14ac:dyDescent="0.2">
      <c r="A18" s="111"/>
      <c r="B18" s="153"/>
      <c r="C18" s="116"/>
      <c r="D18" s="521"/>
      <c r="E18" s="116"/>
      <c r="F18" s="119"/>
      <c r="G18" s="116"/>
      <c r="H18" s="119"/>
      <c r="I18" s="116"/>
      <c r="J18" s="119"/>
      <c r="K18" s="116"/>
      <c r="L18" s="119"/>
      <c r="M18" s="116"/>
      <c r="N18" s="119"/>
      <c r="O18" s="116"/>
      <c r="P18" s="119"/>
      <c r="Q18" s="116"/>
      <c r="R18" s="119"/>
      <c r="S18" s="116"/>
      <c r="T18" s="120">
        <f t="shared" si="0"/>
        <v>0</v>
      </c>
      <c r="U18" s="116"/>
      <c r="V18" s="119"/>
      <c r="W18" s="116"/>
      <c r="X18" s="120">
        <f t="shared" si="1"/>
        <v>0</v>
      </c>
      <c r="Y18" s="108">
        <f t="shared" si="2"/>
        <v>0</v>
      </c>
      <c r="Z18" s="108" t="str">
        <f t="shared" si="3"/>
        <v/>
      </c>
      <c r="AA18" s="117"/>
      <c r="AB18" s="112"/>
    </row>
    <row r="19" spans="1:28" x14ac:dyDescent="0.2">
      <c r="A19" s="111"/>
      <c r="B19" s="153"/>
      <c r="C19" s="116"/>
      <c r="D19" s="521"/>
      <c r="E19" s="116"/>
      <c r="F19" s="119"/>
      <c r="G19" s="116"/>
      <c r="H19" s="119"/>
      <c r="I19" s="116"/>
      <c r="J19" s="119"/>
      <c r="K19" s="116"/>
      <c r="L19" s="119"/>
      <c r="M19" s="116"/>
      <c r="N19" s="119"/>
      <c r="O19" s="116"/>
      <c r="P19" s="119"/>
      <c r="Q19" s="116"/>
      <c r="R19" s="119"/>
      <c r="S19" s="116"/>
      <c r="T19" s="120">
        <f t="shared" si="0"/>
        <v>0</v>
      </c>
      <c r="U19" s="116"/>
      <c r="V19" s="119"/>
      <c r="W19" s="116"/>
      <c r="X19" s="120">
        <f t="shared" si="1"/>
        <v>0</v>
      </c>
      <c r="Y19" s="108">
        <f t="shared" si="2"/>
        <v>0</v>
      </c>
      <c r="Z19" s="108" t="str">
        <f t="shared" si="3"/>
        <v/>
      </c>
      <c r="AA19" s="117"/>
      <c r="AB19" s="112"/>
    </row>
    <row r="20" spans="1:28" x14ac:dyDescent="0.2">
      <c r="A20" s="111"/>
      <c r="B20" s="153"/>
      <c r="C20" s="116"/>
      <c r="D20" s="521"/>
      <c r="E20" s="116"/>
      <c r="F20" s="119"/>
      <c r="G20" s="116"/>
      <c r="H20" s="119"/>
      <c r="I20" s="116"/>
      <c r="J20" s="178"/>
      <c r="K20" s="116"/>
      <c r="L20" s="119"/>
      <c r="M20" s="116"/>
      <c r="N20" s="119"/>
      <c r="O20" s="116"/>
      <c r="P20" s="119"/>
      <c r="Q20" s="116"/>
      <c r="R20" s="119"/>
      <c r="S20" s="116"/>
      <c r="T20" s="120">
        <f t="shared" si="0"/>
        <v>0</v>
      </c>
      <c r="U20" s="116"/>
      <c r="V20" s="119"/>
      <c r="W20" s="116"/>
      <c r="X20" s="120">
        <f t="shared" si="1"/>
        <v>0</v>
      </c>
      <c r="Y20" s="108">
        <f t="shared" si="2"/>
        <v>0</v>
      </c>
      <c r="Z20" s="108" t="str">
        <f t="shared" si="3"/>
        <v/>
      </c>
      <c r="AA20" s="117"/>
      <c r="AB20" s="112"/>
    </row>
    <row r="21" spans="1:28" x14ac:dyDescent="0.2">
      <c r="A21" s="111"/>
      <c r="B21" s="153"/>
      <c r="C21" s="116"/>
      <c r="D21" s="521"/>
      <c r="E21" s="116"/>
      <c r="F21" s="119"/>
      <c r="G21" s="116"/>
      <c r="H21" s="119"/>
      <c r="I21" s="116"/>
      <c r="J21" s="119"/>
      <c r="K21" s="116"/>
      <c r="L21" s="119"/>
      <c r="M21" s="116"/>
      <c r="N21" s="119"/>
      <c r="O21" s="116"/>
      <c r="P21" s="119"/>
      <c r="Q21" s="116"/>
      <c r="R21" s="119"/>
      <c r="S21" s="116"/>
      <c r="T21" s="120">
        <f t="shared" si="0"/>
        <v>0</v>
      </c>
      <c r="U21" s="116"/>
      <c r="V21" s="119"/>
      <c r="W21" s="116"/>
      <c r="X21" s="120">
        <f t="shared" si="1"/>
        <v>0</v>
      </c>
      <c r="Y21" s="108">
        <f t="shared" si="2"/>
        <v>0</v>
      </c>
      <c r="Z21" s="108" t="str">
        <f t="shared" si="3"/>
        <v/>
      </c>
      <c r="AA21" s="117"/>
      <c r="AB21" s="112"/>
    </row>
    <row r="22" spans="1:28" x14ac:dyDescent="0.2">
      <c r="A22" s="111"/>
      <c r="B22" s="153"/>
      <c r="C22" s="116"/>
      <c r="D22" s="521"/>
      <c r="E22" s="116"/>
      <c r="F22" s="119"/>
      <c r="G22" s="116"/>
      <c r="H22" s="119"/>
      <c r="I22" s="116"/>
      <c r="J22" s="119"/>
      <c r="K22" s="116"/>
      <c r="L22" s="119"/>
      <c r="M22" s="116"/>
      <c r="N22" s="119"/>
      <c r="O22" s="116"/>
      <c r="P22" s="119"/>
      <c r="Q22" s="116"/>
      <c r="R22" s="119"/>
      <c r="S22" s="116"/>
      <c r="T22" s="120">
        <f t="shared" si="0"/>
        <v>0</v>
      </c>
      <c r="U22" s="116"/>
      <c r="V22" s="119"/>
      <c r="W22" s="116"/>
      <c r="X22" s="120">
        <f t="shared" si="1"/>
        <v>0</v>
      </c>
      <c r="Y22" s="108">
        <f t="shared" si="2"/>
        <v>0</v>
      </c>
      <c r="Z22" s="108" t="str">
        <f t="shared" si="3"/>
        <v/>
      </c>
      <c r="AA22" s="117"/>
      <c r="AB22" s="112"/>
    </row>
    <row r="23" spans="1:28" x14ac:dyDescent="0.2">
      <c r="A23" s="111"/>
      <c r="B23" s="153"/>
      <c r="C23" s="116"/>
      <c r="D23" s="521"/>
      <c r="E23" s="116"/>
      <c r="F23" s="119"/>
      <c r="G23" s="116"/>
      <c r="H23" s="119"/>
      <c r="I23" s="116"/>
      <c r="J23" s="119"/>
      <c r="K23" s="116"/>
      <c r="L23" s="119"/>
      <c r="M23" s="116"/>
      <c r="N23" s="119"/>
      <c r="O23" s="116"/>
      <c r="P23" s="119"/>
      <c r="Q23" s="116"/>
      <c r="R23" s="119"/>
      <c r="S23" s="116"/>
      <c r="T23" s="120">
        <f t="shared" si="0"/>
        <v>0</v>
      </c>
      <c r="U23" s="116"/>
      <c r="V23" s="119"/>
      <c r="W23" s="116"/>
      <c r="X23" s="120">
        <f t="shared" si="1"/>
        <v>0</v>
      </c>
      <c r="Y23" s="108">
        <f t="shared" si="2"/>
        <v>0</v>
      </c>
      <c r="Z23" s="108" t="str">
        <f t="shared" si="3"/>
        <v/>
      </c>
      <c r="AA23" s="117"/>
      <c r="AB23" s="112"/>
    </row>
    <row r="24" spans="1:28" x14ac:dyDescent="0.2">
      <c r="A24" s="111"/>
      <c r="B24" s="153"/>
      <c r="C24" s="116"/>
      <c r="D24" s="521"/>
      <c r="E24" s="116"/>
      <c r="F24" s="119"/>
      <c r="G24" s="116"/>
      <c r="H24" s="119"/>
      <c r="I24" s="116"/>
      <c r="J24" s="119"/>
      <c r="K24" s="116"/>
      <c r="L24" s="119"/>
      <c r="M24" s="116"/>
      <c r="N24" s="119"/>
      <c r="O24" s="116"/>
      <c r="P24" s="119"/>
      <c r="Q24" s="116"/>
      <c r="R24" s="119"/>
      <c r="S24" s="116"/>
      <c r="T24" s="120">
        <f t="shared" si="0"/>
        <v>0</v>
      </c>
      <c r="U24" s="116"/>
      <c r="V24" s="119"/>
      <c r="W24" s="116"/>
      <c r="X24" s="120">
        <f t="shared" si="1"/>
        <v>0</v>
      </c>
      <c r="Y24" s="108">
        <f t="shared" si="2"/>
        <v>0</v>
      </c>
      <c r="Z24" s="108" t="str">
        <f t="shared" si="3"/>
        <v/>
      </c>
      <c r="AA24" s="117"/>
      <c r="AB24" s="112"/>
    </row>
    <row r="25" spans="1:28" x14ac:dyDescent="0.2">
      <c r="A25" s="111"/>
      <c r="B25" s="153"/>
      <c r="C25" s="116"/>
      <c r="D25" s="521"/>
      <c r="E25" s="116"/>
      <c r="F25" s="119"/>
      <c r="G25" s="116"/>
      <c r="H25" s="119"/>
      <c r="I25" s="116"/>
      <c r="J25" s="119"/>
      <c r="K25" s="116"/>
      <c r="L25" s="119"/>
      <c r="M25" s="116"/>
      <c r="N25" s="119">
        <v>0</v>
      </c>
      <c r="O25" s="116"/>
      <c r="P25" s="119"/>
      <c r="Q25" s="116"/>
      <c r="R25" s="119"/>
      <c r="S25" s="116"/>
      <c r="T25" s="120">
        <f t="shared" si="0"/>
        <v>0</v>
      </c>
      <c r="U25" s="116"/>
      <c r="V25" s="119"/>
      <c r="W25" s="116"/>
      <c r="X25" s="120">
        <f t="shared" si="1"/>
        <v>0</v>
      </c>
      <c r="Y25" s="108">
        <f t="shared" si="2"/>
        <v>0</v>
      </c>
      <c r="Z25" s="108" t="str">
        <f t="shared" si="3"/>
        <v/>
      </c>
      <c r="AA25" s="117"/>
      <c r="AB25" s="112"/>
    </row>
    <row r="26" spans="1:28" x14ac:dyDescent="0.2">
      <c r="A26" s="111"/>
      <c r="B26" s="153"/>
      <c r="C26" s="116"/>
      <c r="D26" s="521"/>
      <c r="E26" s="116"/>
      <c r="F26" s="119"/>
      <c r="G26" s="116"/>
      <c r="H26" s="119"/>
      <c r="I26" s="116"/>
      <c r="J26" s="119"/>
      <c r="K26" s="116"/>
      <c r="L26" s="119"/>
      <c r="M26" s="116"/>
      <c r="N26" s="119"/>
      <c r="O26" s="116"/>
      <c r="P26" s="119"/>
      <c r="Q26" s="116"/>
      <c r="R26" s="119"/>
      <c r="S26" s="116"/>
      <c r="T26" s="120">
        <f t="shared" si="0"/>
        <v>0</v>
      </c>
      <c r="U26" s="116"/>
      <c r="V26" s="119"/>
      <c r="W26" s="116"/>
      <c r="X26" s="120">
        <f t="shared" si="1"/>
        <v>0</v>
      </c>
      <c r="Y26" s="108">
        <f t="shared" si="2"/>
        <v>0</v>
      </c>
      <c r="Z26" s="108" t="str">
        <f t="shared" si="3"/>
        <v/>
      </c>
      <c r="AA26" s="117"/>
      <c r="AB26" s="112"/>
    </row>
    <row r="27" spans="1:28" x14ac:dyDescent="0.2">
      <c r="A27" s="111"/>
      <c r="B27" s="153"/>
      <c r="C27" s="116"/>
      <c r="D27" s="522"/>
      <c r="E27" s="116"/>
      <c r="F27" s="119"/>
      <c r="G27" s="116"/>
      <c r="H27" s="119"/>
      <c r="I27" s="116"/>
      <c r="J27" s="119"/>
      <c r="K27" s="116"/>
      <c r="L27" s="119"/>
      <c r="M27" s="116"/>
      <c r="N27" s="119"/>
      <c r="O27" s="116"/>
      <c r="P27" s="119"/>
      <c r="Q27" s="116"/>
      <c r="R27" s="119"/>
      <c r="S27" s="116"/>
      <c r="T27" s="120">
        <f t="shared" si="0"/>
        <v>0</v>
      </c>
      <c r="U27" s="116"/>
      <c r="V27" s="119"/>
      <c r="W27" s="116"/>
      <c r="X27" s="120">
        <f t="shared" si="1"/>
        <v>0</v>
      </c>
      <c r="Y27" s="108">
        <f t="shared" si="2"/>
        <v>0</v>
      </c>
      <c r="Z27" s="108" t="str">
        <f t="shared" si="3"/>
        <v/>
      </c>
      <c r="AA27" s="117"/>
      <c r="AB27" s="112"/>
    </row>
    <row r="28" spans="1:28" x14ac:dyDescent="0.2">
      <c r="A28" s="111"/>
      <c r="B28" s="153"/>
      <c r="C28" s="116"/>
      <c r="D28" s="521"/>
      <c r="E28" s="116"/>
      <c r="F28" s="119"/>
      <c r="G28" s="116"/>
      <c r="H28" s="119"/>
      <c r="I28" s="116"/>
      <c r="J28" s="119"/>
      <c r="K28" s="116"/>
      <c r="L28" s="119"/>
      <c r="M28" s="116"/>
      <c r="N28" s="119"/>
      <c r="O28" s="116"/>
      <c r="P28" s="119"/>
      <c r="Q28" s="116"/>
      <c r="R28" s="119"/>
      <c r="S28" s="116"/>
      <c r="T28" s="120">
        <f t="shared" si="0"/>
        <v>0</v>
      </c>
      <c r="U28" s="116"/>
      <c r="V28" s="119"/>
      <c r="W28" s="116"/>
      <c r="X28" s="120">
        <f t="shared" si="1"/>
        <v>0</v>
      </c>
      <c r="Y28" s="108">
        <f t="shared" si="2"/>
        <v>0</v>
      </c>
      <c r="Z28" s="108" t="str">
        <f t="shared" si="3"/>
        <v/>
      </c>
      <c r="AA28" s="117"/>
      <c r="AB28" s="112"/>
    </row>
    <row r="29" spans="1:28" x14ac:dyDescent="0.2">
      <c r="A29" s="111"/>
      <c r="B29" s="153"/>
      <c r="C29" s="116"/>
      <c r="D29" s="522"/>
      <c r="E29" s="116"/>
      <c r="F29" s="119"/>
      <c r="G29" s="116"/>
      <c r="H29" s="178"/>
      <c r="I29" s="116"/>
      <c r="J29" s="119"/>
      <c r="K29" s="116"/>
      <c r="L29" s="119"/>
      <c r="M29" s="116"/>
      <c r="N29" s="119"/>
      <c r="O29" s="116"/>
      <c r="P29" s="119"/>
      <c r="Q29" s="116"/>
      <c r="R29" s="119"/>
      <c r="S29" s="116"/>
      <c r="T29" s="120">
        <f t="shared" si="0"/>
        <v>0</v>
      </c>
      <c r="U29" s="116"/>
      <c r="V29" s="119"/>
      <c r="W29" s="116"/>
      <c r="X29" s="120">
        <f t="shared" si="1"/>
        <v>0</v>
      </c>
      <c r="Y29" s="108">
        <f t="shared" si="2"/>
        <v>0</v>
      </c>
      <c r="Z29" s="108" t="str">
        <f t="shared" si="3"/>
        <v/>
      </c>
      <c r="AA29" s="117"/>
      <c r="AB29" s="112"/>
    </row>
    <row r="30" spans="1:28" x14ac:dyDescent="0.2">
      <c r="A30" s="111"/>
      <c r="B30" s="153"/>
      <c r="C30" s="116"/>
      <c r="D30" s="521"/>
      <c r="E30" s="116"/>
      <c r="F30" s="119"/>
      <c r="G30" s="116"/>
      <c r="H30" s="119"/>
      <c r="I30" s="116"/>
      <c r="J30" s="119"/>
      <c r="K30" s="116"/>
      <c r="L30" s="119"/>
      <c r="M30" s="116"/>
      <c r="N30" s="119"/>
      <c r="O30" s="116"/>
      <c r="P30" s="119"/>
      <c r="Q30" s="116"/>
      <c r="R30" s="119"/>
      <c r="S30" s="116"/>
      <c r="T30" s="120">
        <f t="shared" si="0"/>
        <v>0</v>
      </c>
      <c r="U30" s="116"/>
      <c r="V30" s="119"/>
      <c r="W30" s="116"/>
      <c r="X30" s="120">
        <f t="shared" si="1"/>
        <v>0</v>
      </c>
      <c r="Y30" s="108">
        <f t="shared" si="2"/>
        <v>0</v>
      </c>
      <c r="Z30" s="108" t="str">
        <f t="shared" si="3"/>
        <v/>
      </c>
      <c r="AA30" s="117"/>
      <c r="AB30" s="112"/>
    </row>
    <row r="31" spans="1:28" x14ac:dyDescent="0.2">
      <c r="A31" s="111"/>
      <c r="B31" s="153"/>
      <c r="C31" s="116"/>
      <c r="D31" s="521"/>
      <c r="E31" s="116"/>
      <c r="F31" s="119"/>
      <c r="G31" s="116"/>
      <c r="H31" s="119"/>
      <c r="I31" s="116"/>
      <c r="J31" s="119"/>
      <c r="K31" s="116"/>
      <c r="L31" s="119"/>
      <c r="M31" s="116"/>
      <c r="N31" s="119"/>
      <c r="O31" s="116"/>
      <c r="P31" s="119"/>
      <c r="Q31" s="116"/>
      <c r="R31" s="119"/>
      <c r="S31" s="116"/>
      <c r="T31" s="120">
        <f t="shared" si="0"/>
        <v>0</v>
      </c>
      <c r="U31" s="116"/>
      <c r="V31" s="119"/>
      <c r="W31" s="116"/>
      <c r="X31" s="120">
        <f t="shared" si="1"/>
        <v>0</v>
      </c>
      <c r="Y31" s="108">
        <f t="shared" si="2"/>
        <v>0</v>
      </c>
      <c r="Z31" s="108" t="str">
        <f t="shared" si="3"/>
        <v/>
      </c>
      <c r="AA31" s="117"/>
      <c r="AB31" s="112"/>
    </row>
    <row r="32" spans="1:28" x14ac:dyDescent="0.2">
      <c r="A32" s="111"/>
      <c r="B32" s="153"/>
      <c r="C32" s="116"/>
      <c r="D32" s="521"/>
      <c r="E32" s="116"/>
      <c r="F32" s="119"/>
      <c r="G32" s="116"/>
      <c r="H32" s="119"/>
      <c r="I32" s="116"/>
      <c r="J32" s="119"/>
      <c r="K32" s="116"/>
      <c r="L32" s="119"/>
      <c r="M32" s="116"/>
      <c r="N32" s="119"/>
      <c r="O32" s="116"/>
      <c r="P32" s="119"/>
      <c r="Q32" s="116"/>
      <c r="R32" s="119"/>
      <c r="S32" s="116"/>
      <c r="T32" s="120">
        <f t="shared" si="0"/>
        <v>0</v>
      </c>
      <c r="U32" s="116"/>
      <c r="V32" s="119"/>
      <c r="W32" s="116"/>
      <c r="X32" s="120">
        <f t="shared" si="1"/>
        <v>0</v>
      </c>
      <c r="Y32" s="108">
        <f t="shared" si="2"/>
        <v>0</v>
      </c>
      <c r="Z32" s="108" t="str">
        <f t="shared" si="3"/>
        <v/>
      </c>
      <c r="AA32" s="117"/>
      <c r="AB32" s="112"/>
    </row>
    <row r="33" spans="1:28" x14ac:dyDescent="0.2">
      <c r="A33" s="111"/>
      <c r="B33" s="153"/>
      <c r="C33" s="116"/>
      <c r="D33" s="521"/>
      <c r="E33" s="116"/>
      <c r="F33" s="119"/>
      <c r="G33" s="116"/>
      <c r="H33" s="119"/>
      <c r="I33" s="116"/>
      <c r="J33" s="119"/>
      <c r="K33" s="116"/>
      <c r="L33" s="119"/>
      <c r="M33" s="116"/>
      <c r="N33" s="119"/>
      <c r="O33" s="116"/>
      <c r="P33" s="119"/>
      <c r="Q33" s="116"/>
      <c r="R33" s="119"/>
      <c r="S33" s="116"/>
      <c r="T33" s="120">
        <f t="shared" si="0"/>
        <v>0</v>
      </c>
      <c r="U33" s="116"/>
      <c r="V33" s="119"/>
      <c r="W33" s="116"/>
      <c r="X33" s="120">
        <f t="shared" si="1"/>
        <v>0</v>
      </c>
      <c r="Y33" s="108">
        <f t="shared" si="2"/>
        <v>0</v>
      </c>
      <c r="Z33" s="108" t="str">
        <f t="shared" si="3"/>
        <v/>
      </c>
      <c r="AA33" s="117"/>
      <c r="AB33" s="112"/>
    </row>
    <row r="34" spans="1:28" x14ac:dyDescent="0.2">
      <c r="A34" s="111"/>
      <c r="B34" s="153"/>
      <c r="C34" s="116"/>
      <c r="D34" s="521"/>
      <c r="E34" s="116"/>
      <c r="F34" s="119"/>
      <c r="G34" s="116"/>
      <c r="H34" s="119"/>
      <c r="I34" s="116"/>
      <c r="J34" s="119"/>
      <c r="K34" s="116"/>
      <c r="L34" s="119"/>
      <c r="M34" s="116"/>
      <c r="N34" s="119"/>
      <c r="O34" s="116"/>
      <c r="P34" s="119"/>
      <c r="Q34" s="116"/>
      <c r="R34" s="119"/>
      <c r="S34" s="116"/>
      <c r="T34" s="120">
        <f t="shared" si="0"/>
        <v>0</v>
      </c>
      <c r="U34" s="116"/>
      <c r="V34" s="119"/>
      <c r="W34" s="116"/>
      <c r="X34" s="120">
        <f t="shared" si="1"/>
        <v>0</v>
      </c>
      <c r="Y34" s="108">
        <f t="shared" si="2"/>
        <v>0</v>
      </c>
      <c r="Z34" s="108" t="str">
        <f t="shared" si="3"/>
        <v/>
      </c>
      <c r="AA34" s="117"/>
      <c r="AB34" s="112"/>
    </row>
    <row r="35" spans="1:28" x14ac:dyDescent="0.2">
      <c r="A35" s="111"/>
      <c r="B35" s="153"/>
      <c r="C35" s="116"/>
      <c r="D35" s="521"/>
      <c r="E35" s="116"/>
      <c r="F35" s="119"/>
      <c r="G35" s="116"/>
      <c r="H35" s="119"/>
      <c r="I35" s="116"/>
      <c r="J35" s="119"/>
      <c r="K35" s="116"/>
      <c r="L35" s="119"/>
      <c r="M35" s="116"/>
      <c r="N35" s="119"/>
      <c r="O35" s="116"/>
      <c r="P35" s="119"/>
      <c r="Q35" s="116"/>
      <c r="R35" s="119"/>
      <c r="S35" s="116"/>
      <c r="T35" s="120">
        <f t="shared" si="0"/>
        <v>0</v>
      </c>
      <c r="U35" s="116"/>
      <c r="V35" s="119"/>
      <c r="W35" s="116"/>
      <c r="X35" s="120">
        <f t="shared" si="1"/>
        <v>0</v>
      </c>
      <c r="Y35" s="108">
        <f t="shared" si="2"/>
        <v>0</v>
      </c>
      <c r="Z35" s="108" t="str">
        <f t="shared" si="3"/>
        <v/>
      </c>
      <c r="AA35" s="117"/>
      <c r="AB35" s="112"/>
    </row>
    <row r="36" spans="1:28" x14ac:dyDescent="0.2">
      <c r="A36" s="111"/>
      <c r="B36" s="153"/>
      <c r="C36" s="116"/>
      <c r="D36" s="521"/>
      <c r="E36" s="116"/>
      <c r="F36" s="119"/>
      <c r="G36" s="116"/>
      <c r="H36" s="119"/>
      <c r="I36" s="116"/>
      <c r="J36" s="119"/>
      <c r="K36" s="116"/>
      <c r="L36" s="119"/>
      <c r="M36" s="116"/>
      <c r="N36" s="119"/>
      <c r="O36" s="116"/>
      <c r="P36" s="119"/>
      <c r="Q36" s="116"/>
      <c r="R36" s="119"/>
      <c r="S36" s="116"/>
      <c r="T36" s="120">
        <f t="shared" si="0"/>
        <v>0</v>
      </c>
      <c r="U36" s="116"/>
      <c r="V36" s="119"/>
      <c r="W36" s="116"/>
      <c r="X36" s="120">
        <f t="shared" si="1"/>
        <v>0</v>
      </c>
      <c r="Y36" s="108">
        <f t="shared" si="2"/>
        <v>0</v>
      </c>
      <c r="Z36" s="108" t="str">
        <f t="shared" si="3"/>
        <v/>
      </c>
      <c r="AA36" s="117"/>
      <c r="AB36" s="112"/>
    </row>
    <row r="37" spans="1:28" x14ac:dyDescent="0.2">
      <c r="A37" s="111"/>
      <c r="B37" s="153"/>
      <c r="C37" s="116"/>
      <c r="D37" s="522"/>
      <c r="E37" s="116"/>
      <c r="F37" s="119"/>
      <c r="G37" s="116"/>
      <c r="H37" s="119"/>
      <c r="I37" s="116"/>
      <c r="J37" s="119"/>
      <c r="K37" s="116"/>
      <c r="L37" s="119"/>
      <c r="M37" s="116"/>
      <c r="N37" s="119"/>
      <c r="O37" s="116"/>
      <c r="P37" s="119"/>
      <c r="Q37" s="116"/>
      <c r="R37" s="119"/>
      <c r="S37" s="116"/>
      <c r="T37" s="120">
        <f t="shared" si="0"/>
        <v>0</v>
      </c>
      <c r="U37" s="116"/>
      <c r="V37" s="119"/>
      <c r="W37" s="116"/>
      <c r="X37" s="120">
        <f t="shared" si="1"/>
        <v>0</v>
      </c>
      <c r="Y37" s="108">
        <f t="shared" si="2"/>
        <v>0</v>
      </c>
      <c r="Z37" s="108" t="str">
        <f>IF(X37 &lt;&gt; 0,X37,"")</f>
        <v/>
      </c>
      <c r="AA37" s="117"/>
      <c r="AB37" s="112"/>
    </row>
    <row r="38" spans="1:28" hidden="1" x14ac:dyDescent="0.2">
      <c r="A38" s="111"/>
      <c r="B38" s="115"/>
      <c r="C38" s="116"/>
      <c r="D38" s="108"/>
      <c r="E38" s="116"/>
      <c r="F38" s="108"/>
      <c r="G38" s="116"/>
      <c r="H38" s="108"/>
      <c r="I38" s="116"/>
      <c r="J38" s="108"/>
      <c r="K38" s="116"/>
      <c r="L38" s="108"/>
      <c r="M38" s="116"/>
      <c r="N38" s="108"/>
      <c r="O38" s="116"/>
      <c r="P38" s="108"/>
      <c r="Q38" s="116"/>
      <c r="R38" s="108"/>
      <c r="S38" s="116"/>
      <c r="T38" s="108"/>
      <c r="U38" s="116"/>
      <c r="V38" s="108"/>
      <c r="W38" s="116"/>
      <c r="X38" s="108"/>
      <c r="Y38" s="108">
        <f>SUM(Y7:Y37)</f>
        <v>0</v>
      </c>
      <c r="Z38" s="108"/>
      <c r="AA38" s="117"/>
      <c r="AB38" s="112"/>
    </row>
    <row r="39" spans="1:28" x14ac:dyDescent="0.2">
      <c r="A39" s="111"/>
      <c r="B39" s="115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08"/>
      <c r="Z39" s="154">
        <f>COUNT(Z7:Z37)</f>
        <v>10</v>
      </c>
      <c r="AA39" s="117"/>
      <c r="AB39" s="112"/>
    </row>
    <row r="40" spans="1:28" x14ac:dyDescent="0.2">
      <c r="A40" s="111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79"/>
      <c r="Z40" s="179"/>
      <c r="AA40" s="180"/>
      <c r="AB40" s="112"/>
    </row>
    <row r="41" spans="1:28" x14ac:dyDescent="0.2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2"/>
    </row>
    <row r="42" spans="1:28" ht="13.5" thickBot="1" x14ac:dyDescent="0.25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29"/>
    </row>
    <row r="43" spans="1:28" ht="13.5" thickTop="1" x14ac:dyDescent="0.2"/>
    <row r="299" spans="2:24" ht="15" customHeight="1" x14ac:dyDescent="0.2">
      <c r="B299" s="643" t="str">
        <f>J1</f>
        <v>מ"א עמק הירדן</v>
      </c>
      <c r="C299" s="643"/>
      <c r="D299" s="643"/>
      <c r="E299" s="643"/>
      <c r="F299" s="643"/>
      <c r="G299" s="643"/>
      <c r="H299" s="643"/>
      <c r="I299" s="643"/>
      <c r="J299" s="643"/>
      <c r="K299" s="643"/>
      <c r="L299" s="643"/>
      <c r="M299" s="643"/>
      <c r="N299" s="643"/>
      <c r="O299" s="643"/>
      <c r="P299" s="643"/>
      <c r="Q299" s="643"/>
      <c r="R299" s="643"/>
      <c r="S299" s="643"/>
      <c r="T299" s="643"/>
      <c r="U299" s="643"/>
      <c r="V299" s="643"/>
      <c r="W299" s="643"/>
      <c r="X299" s="643"/>
    </row>
    <row r="300" spans="2:24" ht="12.75" customHeight="1" x14ac:dyDescent="0.2">
      <c r="B300" s="643" t="str">
        <f>J2</f>
        <v>דוח בעלי השכר הגבוה</v>
      </c>
      <c r="C300" s="643"/>
      <c r="D300" s="643"/>
      <c r="E300" s="643"/>
      <c r="F300" s="643"/>
      <c r="G300" s="643"/>
      <c r="H300" s="643"/>
      <c r="I300" s="643"/>
      <c r="J300" s="643"/>
      <c r="K300" s="643"/>
      <c r="L300" s="643"/>
      <c r="M300" s="643"/>
      <c r="N300" s="643"/>
      <c r="O300" s="643"/>
      <c r="P300" s="643"/>
      <c r="Q300" s="643"/>
      <c r="R300" s="643"/>
      <c r="S300" s="643"/>
      <c r="T300" s="643"/>
      <c r="U300" s="643"/>
      <c r="V300" s="643"/>
      <c r="W300" s="643"/>
      <c r="X300" s="643"/>
    </row>
    <row r="301" spans="2:24" ht="18" x14ac:dyDescent="0.2">
      <c r="B301" s="643" t="str">
        <f>J3</f>
        <v>לתקופה: רבעון 1, שנת 2017</v>
      </c>
      <c r="C301" s="643"/>
      <c r="D301" s="643"/>
      <c r="E301" s="643"/>
      <c r="F301" s="643"/>
      <c r="G301" s="643"/>
      <c r="H301" s="643"/>
      <c r="I301" s="643"/>
      <c r="J301" s="643"/>
      <c r="K301" s="643"/>
      <c r="L301" s="643"/>
      <c r="M301" s="643"/>
      <c r="N301" s="643"/>
      <c r="O301" s="643"/>
      <c r="P301" s="643"/>
      <c r="Q301" s="643"/>
      <c r="R301" s="643"/>
      <c r="S301" s="643"/>
      <c r="T301" s="643"/>
      <c r="U301" s="643"/>
      <c r="V301" s="643"/>
      <c r="W301" s="643"/>
      <c r="X301" s="643"/>
    </row>
    <row r="302" spans="2:24" ht="0.75" customHeight="1" x14ac:dyDescent="0.2"/>
    <row r="303" spans="2:24" ht="6" customHeight="1" x14ac:dyDescent="0.2"/>
    <row r="304" spans="2:24" ht="8.25" customHeight="1" x14ac:dyDescent="0.2"/>
    <row r="305" spans="2:27" ht="3.75" customHeight="1" x14ac:dyDescent="0.2">
      <c r="Y305" s="183">
        <f t="shared" ref="Y305:AA320" si="4">Y7</f>
        <v>0</v>
      </c>
      <c r="Z305" s="183">
        <f t="shared" si="4"/>
        <v>0</v>
      </c>
      <c r="AA305" s="132">
        <f t="shared" si="4"/>
        <v>0</v>
      </c>
    </row>
    <row r="306" spans="2:27" ht="38.25" x14ac:dyDescent="0.2">
      <c r="B306" s="132" t="str">
        <f t="shared" ref="B306:X318" si="5">B7</f>
        <v>תיאור התפקיד</v>
      </c>
      <c r="C306" s="132">
        <f t="shared" si="5"/>
        <v>0</v>
      </c>
      <c r="D306" s="132" t="str">
        <f t="shared" ref="D306:E317" si="6">D7</f>
        <v>ת.ז.</v>
      </c>
      <c r="E306" s="132">
        <f t="shared" si="6"/>
        <v>0</v>
      </c>
      <c r="F306" s="132" t="str">
        <f t="shared" si="5"/>
        <v>דרוג</v>
      </c>
      <c r="G306" s="132">
        <f t="shared" si="5"/>
        <v>0</v>
      </c>
      <c r="H306" s="132" t="str">
        <f t="shared" si="5"/>
        <v>דרגה</v>
      </c>
      <c r="I306" s="132">
        <f t="shared" si="5"/>
        <v>0</v>
      </c>
      <c r="J306" s="132" t="str">
        <f t="shared" si="5"/>
        <v>שכר משולב</v>
      </c>
      <c r="K306" s="132">
        <f t="shared" si="5"/>
        <v>0</v>
      </c>
      <c r="L306" s="132" t="str">
        <f t="shared" si="5"/>
        <v>תוספות שכר</v>
      </c>
      <c r="M306" s="132">
        <f t="shared" si="5"/>
        <v>0</v>
      </c>
      <c r="N306" s="132" t="str">
        <f t="shared" si="5"/>
        <v>עבודה נוספת</v>
      </c>
      <c r="O306" s="132">
        <f t="shared" si="5"/>
        <v>0</v>
      </c>
      <c r="P306" s="132" t="str">
        <f t="shared" si="5"/>
        <v>החזר הוצאות</v>
      </c>
      <c r="Q306" s="132">
        <f t="shared" si="5"/>
        <v>0</v>
      </c>
      <c r="R306" s="132" t="str">
        <f t="shared" si="5"/>
        <v>הפרשים</v>
      </c>
      <c r="S306" s="132">
        <f t="shared" si="5"/>
        <v>0</v>
      </c>
      <c r="T306" s="132" t="str">
        <f t="shared" si="5"/>
        <v>סה"כ שכר העובד</v>
      </c>
      <c r="U306" s="132">
        <f t="shared" si="5"/>
        <v>0</v>
      </c>
      <c r="V306" s="132" t="str">
        <f t="shared" si="5"/>
        <v>עלות הפרשות המעביד</v>
      </c>
      <c r="W306" s="132">
        <f t="shared" si="5"/>
        <v>0</v>
      </c>
      <c r="X306" s="132" t="str">
        <f t="shared" si="5"/>
        <v>עלות שכר כוללת</v>
      </c>
      <c r="Y306" s="183">
        <f t="shared" si="4"/>
        <v>0</v>
      </c>
      <c r="Z306" s="183">
        <f t="shared" si="4"/>
        <v>482875.05999999994</v>
      </c>
      <c r="AA306" s="135">
        <f t="shared" si="4"/>
        <v>0</v>
      </c>
    </row>
    <row r="307" spans="2:27" s="489" customFormat="1" x14ac:dyDescent="0.2">
      <c r="B307" s="143" t="str">
        <f t="shared" si="5"/>
        <v>גזבר</v>
      </c>
      <c r="C307" s="134">
        <f t="shared" si="5"/>
        <v>0</v>
      </c>
      <c r="D307" s="184" t="str">
        <f t="shared" si="6"/>
        <v>57284580</v>
      </c>
      <c r="E307" s="134">
        <f t="shared" si="6"/>
        <v>0</v>
      </c>
      <c r="F307" s="184">
        <f t="shared" si="5"/>
        <v>5</v>
      </c>
      <c r="G307" s="134">
        <f t="shared" si="5"/>
        <v>0</v>
      </c>
      <c r="H307" s="184">
        <f t="shared" si="5"/>
        <v>3</v>
      </c>
      <c r="I307" s="134">
        <f t="shared" si="5"/>
        <v>0</v>
      </c>
      <c r="J307" s="184">
        <f t="shared" si="5"/>
        <v>325480.45</v>
      </c>
      <c r="K307" s="134">
        <f t="shared" si="5"/>
        <v>0</v>
      </c>
      <c r="L307" s="184">
        <f t="shared" si="5"/>
        <v>0</v>
      </c>
      <c r="M307" s="134">
        <f t="shared" si="5"/>
        <v>0</v>
      </c>
      <c r="N307" s="184">
        <f t="shared" si="5"/>
        <v>0</v>
      </c>
      <c r="O307" s="134">
        <f t="shared" si="5"/>
        <v>0</v>
      </c>
      <c r="P307" s="184">
        <f t="shared" si="5"/>
        <v>12357.6</v>
      </c>
      <c r="Q307" s="134">
        <f t="shared" si="5"/>
        <v>0</v>
      </c>
      <c r="R307" s="184">
        <f t="shared" si="5"/>
        <v>7291.35</v>
      </c>
      <c r="S307" s="134">
        <f t="shared" si="5"/>
        <v>0</v>
      </c>
      <c r="T307" s="138">
        <f t="shared" si="5"/>
        <v>345129.39999999997</v>
      </c>
      <c r="U307" s="134">
        <f t="shared" si="5"/>
        <v>0</v>
      </c>
      <c r="V307" s="184">
        <f t="shared" si="5"/>
        <v>137745.66</v>
      </c>
      <c r="W307" s="134">
        <f t="shared" si="5"/>
        <v>0</v>
      </c>
      <c r="X307" s="138">
        <f t="shared" si="5"/>
        <v>482875.05999999994</v>
      </c>
      <c r="Y307" s="183">
        <f t="shared" si="4"/>
        <v>0</v>
      </c>
      <c r="Z307" s="183">
        <f t="shared" si="4"/>
        <v>431702.52</v>
      </c>
      <c r="AA307" s="135">
        <f t="shared" si="4"/>
        <v>0</v>
      </c>
    </row>
    <row r="308" spans="2:27" x14ac:dyDescent="0.2">
      <c r="B308" s="143" t="str">
        <f t="shared" si="5"/>
        <v>מנכ"ל</v>
      </c>
      <c r="C308" s="134">
        <f t="shared" si="5"/>
        <v>0</v>
      </c>
      <c r="D308" s="185" t="str">
        <f t="shared" si="6"/>
        <v>22097224</v>
      </c>
      <c r="E308" s="134">
        <f t="shared" si="6"/>
        <v>0</v>
      </c>
      <c r="F308" s="185">
        <f t="shared" si="5"/>
        <v>5</v>
      </c>
      <c r="G308" s="134">
        <f t="shared" si="5"/>
        <v>0</v>
      </c>
      <c r="H308" s="185">
        <f t="shared" si="5"/>
        <v>3</v>
      </c>
      <c r="I308" s="134">
        <f t="shared" si="5"/>
        <v>0</v>
      </c>
      <c r="J308" s="185">
        <f t="shared" si="5"/>
        <v>355264.8</v>
      </c>
      <c r="K308" s="134">
        <f t="shared" si="5"/>
        <v>0</v>
      </c>
      <c r="L308" s="185">
        <f t="shared" si="5"/>
        <v>-65937.350000000006</v>
      </c>
      <c r="M308" s="134">
        <f t="shared" si="5"/>
        <v>0</v>
      </c>
      <c r="N308" s="185">
        <f t="shared" si="5"/>
        <v>3023.25</v>
      </c>
      <c r="O308" s="134">
        <f t="shared" si="5"/>
        <v>0</v>
      </c>
      <c r="P308" s="185">
        <f t="shared" si="5"/>
        <v>10406.4</v>
      </c>
      <c r="Q308" s="134">
        <f t="shared" si="5"/>
        <v>0</v>
      </c>
      <c r="R308" s="185">
        <f t="shared" si="5"/>
        <v>4311.1499999999996</v>
      </c>
      <c r="S308" s="134">
        <f t="shared" si="5"/>
        <v>0</v>
      </c>
      <c r="T308" s="141">
        <f t="shared" si="5"/>
        <v>307068.25</v>
      </c>
      <c r="U308" s="134">
        <f t="shared" si="5"/>
        <v>0</v>
      </c>
      <c r="V308" s="185">
        <f t="shared" si="5"/>
        <v>124634.27</v>
      </c>
      <c r="W308" s="134">
        <f t="shared" si="5"/>
        <v>0</v>
      </c>
      <c r="X308" s="141">
        <f t="shared" si="5"/>
        <v>431702.52</v>
      </c>
      <c r="Y308" s="183">
        <f t="shared" si="4"/>
        <v>0</v>
      </c>
      <c r="Z308" s="183">
        <f t="shared" si="4"/>
        <v>366187.73000000004</v>
      </c>
      <c r="AA308" s="135">
        <f t="shared" si="4"/>
        <v>0</v>
      </c>
    </row>
    <row r="309" spans="2:27" x14ac:dyDescent="0.2">
      <c r="B309" s="143" t="str">
        <f t="shared" si="5"/>
        <v>עובד תברואה</v>
      </c>
      <c r="C309" s="134">
        <f t="shared" si="5"/>
        <v>0</v>
      </c>
      <c r="D309" s="185" t="str">
        <f t="shared" si="6"/>
        <v>55269195</v>
      </c>
      <c r="E309" s="134">
        <f t="shared" si="6"/>
        <v>0</v>
      </c>
      <c r="F309" s="185">
        <f t="shared" si="5"/>
        <v>1</v>
      </c>
      <c r="G309" s="134">
        <f t="shared" si="5"/>
        <v>0</v>
      </c>
      <c r="H309" s="185">
        <f t="shared" si="5"/>
        <v>40</v>
      </c>
      <c r="I309" s="134">
        <f t="shared" si="5"/>
        <v>0</v>
      </c>
      <c r="J309" s="185">
        <f t="shared" si="5"/>
        <v>58051.8</v>
      </c>
      <c r="K309" s="134">
        <f t="shared" si="5"/>
        <v>0</v>
      </c>
      <c r="L309" s="185">
        <f t="shared" si="5"/>
        <v>37071.199999999997</v>
      </c>
      <c r="M309" s="134">
        <f t="shared" si="5"/>
        <v>0</v>
      </c>
      <c r="N309" s="185">
        <f t="shared" si="5"/>
        <v>179002.2</v>
      </c>
      <c r="O309" s="134">
        <f t="shared" si="5"/>
        <v>0</v>
      </c>
      <c r="P309" s="185">
        <f t="shared" si="5"/>
        <v>1427.2</v>
      </c>
      <c r="Q309" s="134">
        <f t="shared" si="5"/>
        <v>0</v>
      </c>
      <c r="R309" s="185">
        <f t="shared" si="5"/>
        <v>14241.75</v>
      </c>
      <c r="S309" s="134">
        <f t="shared" si="5"/>
        <v>0</v>
      </c>
      <c r="T309" s="141">
        <f t="shared" si="5"/>
        <v>289794.15000000002</v>
      </c>
      <c r="U309" s="134">
        <f t="shared" si="5"/>
        <v>0</v>
      </c>
      <c r="V309" s="185">
        <f t="shared" si="5"/>
        <v>76393.58</v>
      </c>
      <c r="W309" s="134">
        <f t="shared" si="5"/>
        <v>0</v>
      </c>
      <c r="X309" s="141">
        <f t="shared" si="5"/>
        <v>366187.73000000004</v>
      </c>
      <c r="Y309" s="183">
        <f t="shared" si="4"/>
        <v>0</v>
      </c>
      <c r="Z309" s="183">
        <f t="shared" si="4"/>
        <v>347458.75</v>
      </c>
      <c r="AA309" s="135">
        <f t="shared" si="4"/>
        <v>0</v>
      </c>
    </row>
    <row r="310" spans="2:27" x14ac:dyDescent="0.2">
      <c r="B310" s="133" t="str">
        <f t="shared" si="5"/>
        <v>עובד תברואה</v>
      </c>
      <c r="C310" s="134">
        <f t="shared" si="5"/>
        <v>0</v>
      </c>
      <c r="D310" s="185" t="str">
        <f t="shared" si="6"/>
        <v>52529369</v>
      </c>
      <c r="E310" s="134">
        <f t="shared" si="6"/>
        <v>0</v>
      </c>
      <c r="F310" s="185">
        <f t="shared" si="5"/>
        <v>1</v>
      </c>
      <c r="G310" s="134">
        <f t="shared" si="5"/>
        <v>0</v>
      </c>
      <c r="H310" s="185">
        <f t="shared" si="5"/>
        <v>10</v>
      </c>
      <c r="I310" s="134">
        <f t="shared" si="5"/>
        <v>0</v>
      </c>
      <c r="J310" s="185">
        <f t="shared" si="5"/>
        <v>53109</v>
      </c>
      <c r="K310" s="134">
        <f t="shared" si="5"/>
        <v>0</v>
      </c>
      <c r="L310" s="185">
        <f t="shared" si="5"/>
        <v>34909.35</v>
      </c>
      <c r="M310" s="134">
        <f t="shared" si="5"/>
        <v>0</v>
      </c>
      <c r="N310" s="185">
        <f t="shared" si="5"/>
        <v>170010.9</v>
      </c>
      <c r="O310" s="134">
        <f t="shared" si="5"/>
        <v>0</v>
      </c>
      <c r="P310" s="185">
        <f t="shared" si="5"/>
        <v>1467.2</v>
      </c>
      <c r="Q310" s="134">
        <f t="shared" si="5"/>
        <v>0</v>
      </c>
      <c r="R310" s="185">
        <f t="shared" si="5"/>
        <v>15884.3</v>
      </c>
      <c r="S310" s="134">
        <f t="shared" si="5"/>
        <v>0</v>
      </c>
      <c r="T310" s="141">
        <f t="shared" si="5"/>
        <v>275380.75</v>
      </c>
      <c r="U310" s="134">
        <f t="shared" si="5"/>
        <v>0</v>
      </c>
      <c r="V310" s="185">
        <f t="shared" si="5"/>
        <v>72078</v>
      </c>
      <c r="W310" s="134">
        <f t="shared" si="5"/>
        <v>0</v>
      </c>
      <c r="X310" s="141">
        <f t="shared" si="5"/>
        <v>347458.75</v>
      </c>
      <c r="Y310" s="183">
        <f t="shared" si="4"/>
        <v>0</v>
      </c>
      <c r="Z310" s="183">
        <f t="shared" si="4"/>
        <v>340634.52</v>
      </c>
      <c r="AA310" s="135">
        <f t="shared" si="4"/>
        <v>0</v>
      </c>
    </row>
    <row r="311" spans="2:27" x14ac:dyDescent="0.2">
      <c r="B311" s="133" t="str">
        <f t="shared" si="5"/>
        <v>מנהל אגף שפ"ע</v>
      </c>
      <c r="C311" s="134">
        <f t="shared" si="5"/>
        <v>0</v>
      </c>
      <c r="D311" s="185" t="str">
        <f t="shared" si="6"/>
        <v>57510083</v>
      </c>
      <c r="E311" s="134">
        <f t="shared" si="6"/>
        <v>0</v>
      </c>
      <c r="F311" s="185">
        <f t="shared" si="5"/>
        <v>5</v>
      </c>
      <c r="G311" s="134">
        <f t="shared" si="5"/>
        <v>0</v>
      </c>
      <c r="H311" s="185">
        <f t="shared" si="5"/>
        <v>3</v>
      </c>
      <c r="I311" s="134">
        <f t="shared" si="5"/>
        <v>0</v>
      </c>
      <c r="J311" s="185">
        <f t="shared" si="5"/>
        <v>256958.25</v>
      </c>
      <c r="K311" s="134">
        <f t="shared" si="5"/>
        <v>0</v>
      </c>
      <c r="L311" s="185">
        <f t="shared" si="5"/>
        <v>0</v>
      </c>
      <c r="M311" s="134">
        <f t="shared" si="5"/>
        <v>0</v>
      </c>
      <c r="N311" s="185">
        <f t="shared" si="5"/>
        <v>0</v>
      </c>
      <c r="O311" s="134">
        <f t="shared" si="5"/>
        <v>0</v>
      </c>
      <c r="P311" s="185">
        <f t="shared" si="5"/>
        <v>9756</v>
      </c>
      <c r="Q311" s="134">
        <f t="shared" si="5"/>
        <v>0</v>
      </c>
      <c r="R311" s="185">
        <f t="shared" si="5"/>
        <v>7348.75</v>
      </c>
      <c r="S311" s="134">
        <f t="shared" si="5"/>
        <v>0</v>
      </c>
      <c r="T311" s="141">
        <f t="shared" si="5"/>
        <v>274063</v>
      </c>
      <c r="U311" s="134">
        <f t="shared" si="5"/>
        <v>0</v>
      </c>
      <c r="V311" s="185">
        <f t="shared" si="5"/>
        <v>66571.520000000004</v>
      </c>
      <c r="W311" s="134">
        <f t="shared" si="5"/>
        <v>0</v>
      </c>
      <c r="X311" s="141">
        <f t="shared" si="5"/>
        <v>340634.52</v>
      </c>
      <c r="Y311" s="183">
        <f t="shared" si="4"/>
        <v>0</v>
      </c>
      <c r="Z311" s="183">
        <f t="shared" si="4"/>
        <v>340133.97000000003</v>
      </c>
      <c r="AA311" s="135">
        <f t="shared" si="4"/>
        <v>0</v>
      </c>
    </row>
    <row r="312" spans="2:27" x14ac:dyDescent="0.2">
      <c r="B312" s="133" t="str">
        <f t="shared" si="5"/>
        <v>עובד תברואה</v>
      </c>
      <c r="C312" s="134">
        <f t="shared" si="5"/>
        <v>0</v>
      </c>
      <c r="D312" s="185" t="str">
        <f t="shared" si="6"/>
        <v>57511164</v>
      </c>
      <c r="E312" s="134">
        <f t="shared" si="6"/>
        <v>0</v>
      </c>
      <c r="F312" s="185">
        <f t="shared" si="5"/>
        <v>1</v>
      </c>
      <c r="G312" s="134">
        <f t="shared" si="5"/>
        <v>0</v>
      </c>
      <c r="H312" s="185">
        <f t="shared" si="5"/>
        <v>10</v>
      </c>
      <c r="I312" s="134">
        <f t="shared" si="5"/>
        <v>0</v>
      </c>
      <c r="J312" s="185">
        <f t="shared" si="5"/>
        <v>55045.2</v>
      </c>
      <c r="K312" s="134">
        <f t="shared" si="5"/>
        <v>0</v>
      </c>
      <c r="L312" s="185">
        <f t="shared" si="5"/>
        <v>31792.45</v>
      </c>
      <c r="M312" s="134">
        <f t="shared" si="5"/>
        <v>0</v>
      </c>
      <c r="N312" s="185">
        <f t="shared" si="5"/>
        <v>166082.79999999999</v>
      </c>
      <c r="O312" s="134">
        <f t="shared" si="5"/>
        <v>0</v>
      </c>
      <c r="P312" s="185">
        <f t="shared" si="5"/>
        <v>1487.2</v>
      </c>
      <c r="Q312" s="134">
        <f t="shared" si="5"/>
        <v>0</v>
      </c>
      <c r="R312" s="185">
        <f t="shared" si="5"/>
        <v>15358</v>
      </c>
      <c r="S312" s="134">
        <f t="shared" si="5"/>
        <v>0</v>
      </c>
      <c r="T312" s="141">
        <f t="shared" si="5"/>
        <v>269765.65000000002</v>
      </c>
      <c r="U312" s="134">
        <f t="shared" si="5"/>
        <v>0</v>
      </c>
      <c r="V312" s="185">
        <f t="shared" si="5"/>
        <v>70368.320000000007</v>
      </c>
      <c r="W312" s="134">
        <f t="shared" si="5"/>
        <v>0</v>
      </c>
      <c r="X312" s="141">
        <f t="shared" si="5"/>
        <v>340133.97000000003</v>
      </c>
      <c r="Y312" s="183">
        <f t="shared" si="4"/>
        <v>0</v>
      </c>
      <c r="Z312" s="183">
        <f t="shared" si="4"/>
        <v>337513.89</v>
      </c>
      <c r="AA312" s="135">
        <f t="shared" si="4"/>
        <v>0</v>
      </c>
    </row>
    <row r="313" spans="2:27" x14ac:dyDescent="0.2">
      <c r="B313" s="133" t="str">
        <f t="shared" si="5"/>
        <v>עובד תברואה</v>
      </c>
      <c r="C313" s="134">
        <f t="shared" si="5"/>
        <v>0</v>
      </c>
      <c r="D313" s="185" t="str">
        <f t="shared" si="6"/>
        <v>53520284</v>
      </c>
      <c r="E313" s="134">
        <f t="shared" si="6"/>
        <v>0</v>
      </c>
      <c r="F313" s="185">
        <f t="shared" si="5"/>
        <v>1</v>
      </c>
      <c r="G313" s="134">
        <f t="shared" si="5"/>
        <v>0</v>
      </c>
      <c r="H313" s="185">
        <f t="shared" si="5"/>
        <v>40</v>
      </c>
      <c r="I313" s="134">
        <f t="shared" si="5"/>
        <v>0</v>
      </c>
      <c r="J313" s="185">
        <f t="shared" si="5"/>
        <v>64631.4</v>
      </c>
      <c r="K313" s="134">
        <f t="shared" si="5"/>
        <v>0</v>
      </c>
      <c r="L313" s="185">
        <f t="shared" si="5"/>
        <v>31370.9</v>
      </c>
      <c r="M313" s="134">
        <f t="shared" si="5"/>
        <v>0</v>
      </c>
      <c r="N313" s="185">
        <f t="shared" si="5"/>
        <v>148326.54999999999</v>
      </c>
      <c r="O313" s="134">
        <f t="shared" si="5"/>
        <v>0</v>
      </c>
      <c r="P313" s="185">
        <f t="shared" si="5"/>
        <v>1427.2</v>
      </c>
      <c r="Q313" s="134">
        <f t="shared" si="5"/>
        <v>0</v>
      </c>
      <c r="R313" s="185">
        <f t="shared" si="5"/>
        <v>22420.95</v>
      </c>
      <c r="S313" s="134">
        <f t="shared" si="5"/>
        <v>0</v>
      </c>
      <c r="T313" s="141">
        <f t="shared" si="5"/>
        <v>268177</v>
      </c>
      <c r="U313" s="134">
        <f t="shared" si="5"/>
        <v>0</v>
      </c>
      <c r="V313" s="185">
        <f t="shared" si="5"/>
        <v>69336.89</v>
      </c>
      <c r="W313" s="134">
        <f t="shared" si="5"/>
        <v>0</v>
      </c>
      <c r="X313" s="141">
        <f t="shared" si="5"/>
        <v>337513.89</v>
      </c>
      <c r="Y313" s="183">
        <f t="shared" si="4"/>
        <v>0</v>
      </c>
      <c r="Z313" s="183">
        <f t="shared" si="4"/>
        <v>336046.04</v>
      </c>
      <c r="AA313" s="135">
        <f t="shared" si="4"/>
        <v>0</v>
      </c>
    </row>
    <row r="314" spans="2:27" x14ac:dyDescent="0.2">
      <c r="B314" s="133" t="str">
        <f t="shared" si="5"/>
        <v>עובד תברואה</v>
      </c>
      <c r="C314" s="134">
        <f t="shared" si="5"/>
        <v>0</v>
      </c>
      <c r="D314" s="185" t="str">
        <f t="shared" si="6"/>
        <v>57510711</v>
      </c>
      <c r="E314" s="134">
        <f t="shared" si="6"/>
        <v>0</v>
      </c>
      <c r="F314" s="185">
        <f t="shared" si="5"/>
        <v>1</v>
      </c>
      <c r="G314" s="134">
        <f t="shared" si="5"/>
        <v>0</v>
      </c>
      <c r="H314" s="185">
        <f t="shared" si="5"/>
        <v>10</v>
      </c>
      <c r="I314" s="134">
        <f t="shared" si="5"/>
        <v>0</v>
      </c>
      <c r="J314" s="185">
        <f t="shared" si="5"/>
        <v>54274.2</v>
      </c>
      <c r="K314" s="134">
        <f t="shared" si="5"/>
        <v>0</v>
      </c>
      <c r="L314" s="185">
        <f t="shared" si="5"/>
        <v>31089.55</v>
      </c>
      <c r="M314" s="134">
        <f t="shared" si="5"/>
        <v>0</v>
      </c>
      <c r="N314" s="185">
        <f t="shared" si="5"/>
        <v>164396.5</v>
      </c>
      <c r="O314" s="134">
        <f t="shared" si="5"/>
        <v>0</v>
      </c>
      <c r="P314" s="185">
        <f t="shared" si="5"/>
        <v>1447.2</v>
      </c>
      <c r="Q314" s="134">
        <f t="shared" si="5"/>
        <v>0</v>
      </c>
      <c r="R314" s="185">
        <f t="shared" si="5"/>
        <v>15525.85</v>
      </c>
      <c r="S314" s="134">
        <f t="shared" si="5"/>
        <v>0</v>
      </c>
      <c r="T314" s="141">
        <f t="shared" si="5"/>
        <v>266733.3</v>
      </c>
      <c r="U314" s="134">
        <f t="shared" si="5"/>
        <v>0</v>
      </c>
      <c r="V314" s="185">
        <f t="shared" si="5"/>
        <v>69312.740000000005</v>
      </c>
      <c r="W314" s="134">
        <f t="shared" si="5"/>
        <v>0</v>
      </c>
      <c r="X314" s="141">
        <f t="shared" si="5"/>
        <v>336046.04</v>
      </c>
      <c r="Y314" s="183">
        <f t="shared" si="4"/>
        <v>0</v>
      </c>
      <c r="Z314" s="183">
        <f t="shared" si="4"/>
        <v>402873.98000000004</v>
      </c>
      <c r="AA314" s="135">
        <f t="shared" si="4"/>
        <v>0</v>
      </c>
    </row>
    <row r="315" spans="2:27" x14ac:dyDescent="0.2">
      <c r="B315" s="133" t="str">
        <f t="shared" si="5"/>
        <v>מהנדס</v>
      </c>
      <c r="C315" s="134">
        <f t="shared" si="5"/>
        <v>0</v>
      </c>
      <c r="D315" s="185" t="str">
        <f t="shared" si="6"/>
        <v>56735525</v>
      </c>
      <c r="E315" s="134">
        <f t="shared" si="6"/>
        <v>0</v>
      </c>
      <c r="F315" s="185">
        <f t="shared" si="5"/>
        <v>5</v>
      </c>
      <c r="G315" s="134">
        <f t="shared" si="5"/>
        <v>0</v>
      </c>
      <c r="H315" s="185">
        <f t="shared" si="5"/>
        <v>3</v>
      </c>
      <c r="I315" s="134">
        <f t="shared" si="5"/>
        <v>0</v>
      </c>
      <c r="J315" s="185">
        <f t="shared" si="5"/>
        <v>234678.45</v>
      </c>
      <c r="K315" s="134">
        <f t="shared" si="5"/>
        <v>0</v>
      </c>
      <c r="L315" s="185">
        <f t="shared" si="5"/>
        <v>0</v>
      </c>
      <c r="M315" s="134">
        <f t="shared" si="5"/>
        <v>0</v>
      </c>
      <c r="N315" s="185">
        <f t="shared" si="5"/>
        <v>0</v>
      </c>
      <c r="O315" s="134">
        <f t="shared" si="5"/>
        <v>0</v>
      </c>
      <c r="P315" s="185">
        <f t="shared" si="5"/>
        <v>9918.6</v>
      </c>
      <c r="Q315" s="134">
        <f t="shared" si="5"/>
        <v>0</v>
      </c>
      <c r="R315" s="185">
        <f t="shared" si="5"/>
        <v>45581.05</v>
      </c>
      <c r="S315" s="134">
        <f t="shared" si="5"/>
        <v>0</v>
      </c>
      <c r="T315" s="141">
        <f t="shared" si="5"/>
        <v>290178.10000000003</v>
      </c>
      <c r="U315" s="134">
        <f t="shared" si="5"/>
        <v>0</v>
      </c>
      <c r="V315" s="185">
        <f t="shared" si="5"/>
        <v>112695.88</v>
      </c>
      <c r="W315" s="134">
        <f t="shared" si="5"/>
        <v>0</v>
      </c>
      <c r="X315" s="141">
        <f t="shared" si="5"/>
        <v>402873.98000000004</v>
      </c>
      <c r="Y315" s="183">
        <f t="shared" si="4"/>
        <v>0</v>
      </c>
      <c r="Z315" s="183">
        <f t="shared" si="4"/>
        <v>357686.52</v>
      </c>
      <c r="AA315" s="135">
        <f t="shared" si="4"/>
        <v>0</v>
      </c>
    </row>
    <row r="316" spans="2:27" x14ac:dyDescent="0.2">
      <c r="B316" s="133" t="str">
        <f t="shared" si="5"/>
        <v>מנהל אגף כלכלי</v>
      </c>
      <c r="C316" s="134">
        <f t="shared" si="5"/>
        <v>0</v>
      </c>
      <c r="D316" s="185" t="str">
        <f t="shared" si="6"/>
        <v>54004254</v>
      </c>
      <c r="E316" s="134">
        <f t="shared" si="6"/>
        <v>0</v>
      </c>
      <c r="F316" s="185">
        <f t="shared" si="5"/>
        <v>5</v>
      </c>
      <c r="G316" s="134">
        <f t="shared" si="5"/>
        <v>0</v>
      </c>
      <c r="H316" s="185">
        <f t="shared" si="5"/>
        <v>3</v>
      </c>
      <c r="I316" s="134">
        <f t="shared" si="5"/>
        <v>0</v>
      </c>
      <c r="J316" s="185">
        <f t="shared" si="5"/>
        <v>239827.7</v>
      </c>
      <c r="K316" s="134">
        <f t="shared" si="5"/>
        <v>0</v>
      </c>
      <c r="L316" s="185">
        <f t="shared" si="5"/>
        <v>0</v>
      </c>
      <c r="M316" s="134">
        <f t="shared" si="5"/>
        <v>0</v>
      </c>
      <c r="N316" s="185">
        <f t="shared" si="5"/>
        <v>0</v>
      </c>
      <c r="O316" s="134">
        <f t="shared" si="5"/>
        <v>0</v>
      </c>
      <c r="P316" s="185">
        <f t="shared" si="5"/>
        <v>9105.6</v>
      </c>
      <c r="Q316" s="134">
        <f t="shared" si="5"/>
        <v>0</v>
      </c>
      <c r="R316" s="185">
        <f t="shared" si="5"/>
        <v>7363.1</v>
      </c>
      <c r="S316" s="134">
        <f t="shared" si="5"/>
        <v>0</v>
      </c>
      <c r="T316" s="141">
        <f t="shared" si="5"/>
        <v>256296.40000000002</v>
      </c>
      <c r="U316" s="134">
        <f t="shared" si="5"/>
        <v>0</v>
      </c>
      <c r="V316" s="185">
        <f t="shared" si="5"/>
        <v>101390.12</v>
      </c>
      <c r="W316" s="134">
        <f t="shared" si="5"/>
        <v>0</v>
      </c>
      <c r="X316" s="141">
        <f t="shared" si="5"/>
        <v>357686.52</v>
      </c>
      <c r="Y316" s="183">
        <f t="shared" si="4"/>
        <v>0</v>
      </c>
      <c r="Z316" s="183" t="str">
        <f t="shared" si="4"/>
        <v/>
      </c>
      <c r="AA316" s="135">
        <f t="shared" si="4"/>
        <v>0</v>
      </c>
    </row>
    <row r="317" spans="2:27" x14ac:dyDescent="0.2">
      <c r="B317" s="133">
        <f t="shared" si="5"/>
        <v>0</v>
      </c>
      <c r="C317" s="134">
        <f t="shared" si="5"/>
        <v>0</v>
      </c>
      <c r="D317" s="185">
        <f t="shared" si="6"/>
        <v>0</v>
      </c>
      <c r="E317" s="134">
        <f t="shared" si="6"/>
        <v>0</v>
      </c>
      <c r="F317" s="185">
        <f t="shared" si="5"/>
        <v>0</v>
      </c>
      <c r="G317" s="134">
        <f t="shared" si="5"/>
        <v>0</v>
      </c>
      <c r="H317" s="185">
        <f t="shared" si="5"/>
        <v>0</v>
      </c>
      <c r="I317" s="134">
        <f t="shared" si="5"/>
        <v>0</v>
      </c>
      <c r="J317" s="185">
        <f t="shared" si="5"/>
        <v>0</v>
      </c>
      <c r="K317" s="134">
        <f t="shared" si="5"/>
        <v>0</v>
      </c>
      <c r="L317" s="185">
        <f t="shared" si="5"/>
        <v>0</v>
      </c>
      <c r="M317" s="134">
        <f t="shared" si="5"/>
        <v>0</v>
      </c>
      <c r="N317" s="185">
        <f t="shared" si="5"/>
        <v>0</v>
      </c>
      <c r="O317" s="134">
        <f t="shared" si="5"/>
        <v>0</v>
      </c>
      <c r="P317" s="185">
        <f t="shared" si="5"/>
        <v>0</v>
      </c>
      <c r="Q317" s="134">
        <f t="shared" si="5"/>
        <v>0</v>
      </c>
      <c r="R317" s="185">
        <f t="shared" si="5"/>
        <v>0</v>
      </c>
      <c r="S317" s="134">
        <f t="shared" si="5"/>
        <v>0</v>
      </c>
      <c r="T317" s="141">
        <f t="shared" si="5"/>
        <v>0</v>
      </c>
      <c r="U317" s="134">
        <f t="shared" si="5"/>
        <v>0</v>
      </c>
      <c r="V317" s="185">
        <f t="shared" si="5"/>
        <v>0</v>
      </c>
      <c r="W317" s="134">
        <f t="shared" si="5"/>
        <v>0</v>
      </c>
      <c r="X317" s="141">
        <f t="shared" si="5"/>
        <v>0</v>
      </c>
      <c r="Y317" s="183">
        <f t="shared" si="4"/>
        <v>0</v>
      </c>
      <c r="Z317" s="183" t="str">
        <f t="shared" si="4"/>
        <v/>
      </c>
      <c r="AA317" s="135">
        <f t="shared" si="4"/>
        <v>0</v>
      </c>
    </row>
    <row r="318" spans="2:27" x14ac:dyDescent="0.2">
      <c r="B318" s="133">
        <f t="shared" si="5"/>
        <v>0</v>
      </c>
      <c r="C318" s="134">
        <f t="shared" si="5"/>
        <v>0</v>
      </c>
      <c r="D318" s="185">
        <f t="shared" ref="D318:E330" si="7">D19</f>
        <v>0</v>
      </c>
      <c r="E318" s="134">
        <f t="shared" si="7"/>
        <v>0</v>
      </c>
      <c r="F318" s="185">
        <f t="shared" si="5"/>
        <v>0</v>
      </c>
      <c r="G318" s="134">
        <f t="shared" ref="G318:X318" si="8">G19</f>
        <v>0</v>
      </c>
      <c r="H318" s="185">
        <f t="shared" si="8"/>
        <v>0</v>
      </c>
      <c r="I318" s="134">
        <f t="shared" si="8"/>
        <v>0</v>
      </c>
      <c r="J318" s="185">
        <f t="shared" si="8"/>
        <v>0</v>
      </c>
      <c r="K318" s="134">
        <f t="shared" si="8"/>
        <v>0</v>
      </c>
      <c r="L318" s="185">
        <f t="shared" si="8"/>
        <v>0</v>
      </c>
      <c r="M318" s="134">
        <f t="shared" si="8"/>
        <v>0</v>
      </c>
      <c r="N318" s="185">
        <f t="shared" si="8"/>
        <v>0</v>
      </c>
      <c r="O318" s="134">
        <f t="shared" si="8"/>
        <v>0</v>
      </c>
      <c r="P318" s="185">
        <f t="shared" si="8"/>
        <v>0</v>
      </c>
      <c r="Q318" s="134">
        <f t="shared" si="8"/>
        <v>0</v>
      </c>
      <c r="R318" s="185">
        <f t="shared" si="8"/>
        <v>0</v>
      </c>
      <c r="S318" s="134">
        <f t="shared" si="8"/>
        <v>0</v>
      </c>
      <c r="T318" s="141">
        <f t="shared" si="8"/>
        <v>0</v>
      </c>
      <c r="U318" s="134">
        <f t="shared" si="8"/>
        <v>0</v>
      </c>
      <c r="V318" s="185">
        <f t="shared" si="8"/>
        <v>0</v>
      </c>
      <c r="W318" s="134">
        <f t="shared" si="8"/>
        <v>0</v>
      </c>
      <c r="X318" s="141">
        <f t="shared" si="8"/>
        <v>0</v>
      </c>
      <c r="Y318" s="183">
        <f t="shared" si="4"/>
        <v>0</v>
      </c>
      <c r="Z318" s="183" t="str">
        <f t="shared" si="4"/>
        <v/>
      </c>
      <c r="AA318" s="135">
        <f t="shared" si="4"/>
        <v>0</v>
      </c>
    </row>
    <row r="319" spans="2:27" x14ac:dyDescent="0.2">
      <c r="B319" s="133">
        <f t="shared" ref="B319:X331" si="9">B20</f>
        <v>0</v>
      </c>
      <c r="C319" s="134">
        <f t="shared" si="9"/>
        <v>0</v>
      </c>
      <c r="D319" s="185">
        <f t="shared" si="7"/>
        <v>0</v>
      </c>
      <c r="E319" s="134">
        <f t="shared" si="7"/>
        <v>0</v>
      </c>
      <c r="F319" s="185">
        <f t="shared" si="9"/>
        <v>0</v>
      </c>
      <c r="G319" s="134">
        <f t="shared" si="9"/>
        <v>0</v>
      </c>
      <c r="H319" s="185">
        <f t="shared" si="9"/>
        <v>0</v>
      </c>
      <c r="I319" s="134">
        <f t="shared" si="9"/>
        <v>0</v>
      </c>
      <c r="J319" s="185">
        <f t="shared" si="9"/>
        <v>0</v>
      </c>
      <c r="K319" s="134">
        <f t="shared" si="9"/>
        <v>0</v>
      </c>
      <c r="L319" s="185">
        <f t="shared" si="9"/>
        <v>0</v>
      </c>
      <c r="M319" s="134">
        <f t="shared" si="9"/>
        <v>0</v>
      </c>
      <c r="N319" s="185">
        <f t="shared" si="9"/>
        <v>0</v>
      </c>
      <c r="O319" s="134">
        <f t="shared" si="9"/>
        <v>0</v>
      </c>
      <c r="P319" s="185">
        <f t="shared" si="9"/>
        <v>0</v>
      </c>
      <c r="Q319" s="134">
        <f t="shared" si="9"/>
        <v>0</v>
      </c>
      <c r="R319" s="185">
        <f t="shared" si="9"/>
        <v>0</v>
      </c>
      <c r="S319" s="134">
        <f t="shared" si="9"/>
        <v>0</v>
      </c>
      <c r="T319" s="141">
        <f t="shared" si="9"/>
        <v>0</v>
      </c>
      <c r="U319" s="134">
        <f t="shared" si="9"/>
        <v>0</v>
      </c>
      <c r="V319" s="185">
        <f t="shared" si="9"/>
        <v>0</v>
      </c>
      <c r="W319" s="134">
        <f t="shared" si="9"/>
        <v>0</v>
      </c>
      <c r="X319" s="141">
        <f t="shared" si="9"/>
        <v>0</v>
      </c>
      <c r="Y319" s="183">
        <f t="shared" si="4"/>
        <v>0</v>
      </c>
      <c r="Z319" s="183" t="str">
        <f t="shared" si="4"/>
        <v/>
      </c>
      <c r="AA319" s="135">
        <f t="shared" si="4"/>
        <v>0</v>
      </c>
    </row>
    <row r="320" spans="2:27" x14ac:dyDescent="0.2">
      <c r="B320" s="133">
        <f t="shared" si="9"/>
        <v>0</v>
      </c>
      <c r="C320" s="134">
        <f t="shared" si="9"/>
        <v>0</v>
      </c>
      <c r="D320" s="185">
        <f t="shared" si="7"/>
        <v>0</v>
      </c>
      <c r="E320" s="134">
        <f t="shared" si="7"/>
        <v>0</v>
      </c>
      <c r="F320" s="185">
        <f t="shared" si="9"/>
        <v>0</v>
      </c>
      <c r="G320" s="134">
        <f t="shared" si="9"/>
        <v>0</v>
      </c>
      <c r="H320" s="185">
        <f t="shared" si="9"/>
        <v>0</v>
      </c>
      <c r="I320" s="134">
        <f t="shared" si="9"/>
        <v>0</v>
      </c>
      <c r="J320" s="185">
        <f t="shared" si="9"/>
        <v>0</v>
      </c>
      <c r="K320" s="134">
        <f t="shared" si="9"/>
        <v>0</v>
      </c>
      <c r="L320" s="185">
        <f t="shared" si="9"/>
        <v>0</v>
      </c>
      <c r="M320" s="134">
        <f t="shared" si="9"/>
        <v>0</v>
      </c>
      <c r="N320" s="185">
        <f t="shared" si="9"/>
        <v>0</v>
      </c>
      <c r="O320" s="134">
        <f t="shared" si="9"/>
        <v>0</v>
      </c>
      <c r="P320" s="185">
        <f t="shared" si="9"/>
        <v>0</v>
      </c>
      <c r="Q320" s="134">
        <f t="shared" si="9"/>
        <v>0</v>
      </c>
      <c r="R320" s="185">
        <f t="shared" si="9"/>
        <v>0</v>
      </c>
      <c r="S320" s="134">
        <f t="shared" si="9"/>
        <v>0</v>
      </c>
      <c r="T320" s="141">
        <f t="shared" si="9"/>
        <v>0</v>
      </c>
      <c r="U320" s="134">
        <f t="shared" si="9"/>
        <v>0</v>
      </c>
      <c r="V320" s="185">
        <f t="shared" si="9"/>
        <v>0</v>
      </c>
      <c r="W320" s="134">
        <f t="shared" si="9"/>
        <v>0</v>
      </c>
      <c r="X320" s="141">
        <f t="shared" si="9"/>
        <v>0</v>
      </c>
      <c r="Y320" s="183">
        <f t="shared" si="4"/>
        <v>0</v>
      </c>
      <c r="Z320" s="183" t="str">
        <f t="shared" si="4"/>
        <v/>
      </c>
      <c r="AA320" s="135">
        <f t="shared" si="4"/>
        <v>0</v>
      </c>
    </row>
    <row r="321" spans="2:27" x14ac:dyDescent="0.2">
      <c r="B321" s="133">
        <f t="shared" si="9"/>
        <v>0</v>
      </c>
      <c r="C321" s="134">
        <f t="shared" si="9"/>
        <v>0</v>
      </c>
      <c r="D321" s="185">
        <f t="shared" si="7"/>
        <v>0</v>
      </c>
      <c r="E321" s="134">
        <f t="shared" si="7"/>
        <v>0</v>
      </c>
      <c r="F321" s="185">
        <f t="shared" si="9"/>
        <v>0</v>
      </c>
      <c r="G321" s="134">
        <f t="shared" si="9"/>
        <v>0</v>
      </c>
      <c r="H321" s="185">
        <f t="shared" si="9"/>
        <v>0</v>
      </c>
      <c r="I321" s="134">
        <f t="shared" si="9"/>
        <v>0</v>
      </c>
      <c r="J321" s="185">
        <f t="shared" si="9"/>
        <v>0</v>
      </c>
      <c r="K321" s="134">
        <f t="shared" si="9"/>
        <v>0</v>
      </c>
      <c r="L321" s="185">
        <f t="shared" si="9"/>
        <v>0</v>
      </c>
      <c r="M321" s="134">
        <f t="shared" si="9"/>
        <v>0</v>
      </c>
      <c r="N321" s="185">
        <f t="shared" si="9"/>
        <v>0</v>
      </c>
      <c r="O321" s="134">
        <f t="shared" si="9"/>
        <v>0</v>
      </c>
      <c r="P321" s="185">
        <f t="shared" si="9"/>
        <v>0</v>
      </c>
      <c r="Q321" s="134">
        <f t="shared" si="9"/>
        <v>0</v>
      </c>
      <c r="R321" s="185">
        <f t="shared" si="9"/>
        <v>0</v>
      </c>
      <c r="S321" s="134">
        <f t="shared" si="9"/>
        <v>0</v>
      </c>
      <c r="T321" s="141">
        <f t="shared" si="9"/>
        <v>0</v>
      </c>
      <c r="U321" s="134">
        <f t="shared" si="9"/>
        <v>0</v>
      </c>
      <c r="V321" s="185">
        <f t="shared" si="9"/>
        <v>0</v>
      </c>
      <c r="W321" s="134">
        <f t="shared" si="9"/>
        <v>0</v>
      </c>
      <c r="X321" s="141">
        <f t="shared" si="9"/>
        <v>0</v>
      </c>
      <c r="Y321" s="183">
        <f t="shared" ref="Y321:AA336" si="10">Y23</f>
        <v>0</v>
      </c>
      <c r="Z321" s="183" t="str">
        <f t="shared" si="10"/>
        <v/>
      </c>
      <c r="AA321" s="135">
        <f t="shared" si="10"/>
        <v>0</v>
      </c>
    </row>
    <row r="322" spans="2:27" x14ac:dyDescent="0.2">
      <c r="B322" s="133">
        <f t="shared" si="9"/>
        <v>0</v>
      </c>
      <c r="C322" s="134">
        <f t="shared" si="9"/>
        <v>0</v>
      </c>
      <c r="D322" s="185">
        <f t="shared" si="7"/>
        <v>0</v>
      </c>
      <c r="E322" s="134">
        <f t="shared" si="7"/>
        <v>0</v>
      </c>
      <c r="F322" s="185">
        <f t="shared" si="9"/>
        <v>0</v>
      </c>
      <c r="G322" s="134">
        <f t="shared" si="9"/>
        <v>0</v>
      </c>
      <c r="H322" s="185">
        <f t="shared" si="9"/>
        <v>0</v>
      </c>
      <c r="I322" s="134">
        <f t="shared" si="9"/>
        <v>0</v>
      </c>
      <c r="J322" s="185">
        <f t="shared" si="9"/>
        <v>0</v>
      </c>
      <c r="K322" s="134">
        <f t="shared" si="9"/>
        <v>0</v>
      </c>
      <c r="L322" s="185">
        <f t="shared" si="9"/>
        <v>0</v>
      </c>
      <c r="M322" s="134">
        <f t="shared" si="9"/>
        <v>0</v>
      </c>
      <c r="N322" s="185">
        <f t="shared" si="9"/>
        <v>0</v>
      </c>
      <c r="O322" s="134">
        <f t="shared" si="9"/>
        <v>0</v>
      </c>
      <c r="P322" s="185">
        <f t="shared" si="9"/>
        <v>0</v>
      </c>
      <c r="Q322" s="134">
        <f t="shared" si="9"/>
        <v>0</v>
      </c>
      <c r="R322" s="185">
        <f t="shared" si="9"/>
        <v>0</v>
      </c>
      <c r="S322" s="134">
        <f t="shared" si="9"/>
        <v>0</v>
      </c>
      <c r="T322" s="141">
        <f t="shared" si="9"/>
        <v>0</v>
      </c>
      <c r="U322" s="134">
        <f t="shared" si="9"/>
        <v>0</v>
      </c>
      <c r="V322" s="185">
        <f t="shared" si="9"/>
        <v>0</v>
      </c>
      <c r="W322" s="134">
        <f t="shared" si="9"/>
        <v>0</v>
      </c>
      <c r="X322" s="141">
        <f t="shared" si="9"/>
        <v>0</v>
      </c>
      <c r="Y322" s="183">
        <f t="shared" si="10"/>
        <v>0</v>
      </c>
      <c r="Z322" s="183" t="str">
        <f t="shared" si="10"/>
        <v/>
      </c>
      <c r="AA322" s="135">
        <f t="shared" si="10"/>
        <v>0</v>
      </c>
    </row>
    <row r="323" spans="2:27" x14ac:dyDescent="0.2">
      <c r="B323" s="133">
        <f t="shared" si="9"/>
        <v>0</v>
      </c>
      <c r="C323" s="134">
        <f t="shared" si="9"/>
        <v>0</v>
      </c>
      <c r="D323" s="185">
        <f t="shared" si="7"/>
        <v>0</v>
      </c>
      <c r="E323" s="134">
        <f t="shared" si="7"/>
        <v>0</v>
      </c>
      <c r="F323" s="185">
        <f t="shared" si="9"/>
        <v>0</v>
      </c>
      <c r="G323" s="134">
        <f t="shared" si="9"/>
        <v>0</v>
      </c>
      <c r="H323" s="185">
        <f t="shared" si="9"/>
        <v>0</v>
      </c>
      <c r="I323" s="134">
        <f t="shared" si="9"/>
        <v>0</v>
      </c>
      <c r="J323" s="185">
        <f t="shared" si="9"/>
        <v>0</v>
      </c>
      <c r="K323" s="134">
        <f t="shared" si="9"/>
        <v>0</v>
      </c>
      <c r="L323" s="185">
        <f t="shared" si="9"/>
        <v>0</v>
      </c>
      <c r="M323" s="134">
        <f t="shared" si="9"/>
        <v>0</v>
      </c>
      <c r="N323" s="185">
        <f t="shared" si="9"/>
        <v>0</v>
      </c>
      <c r="O323" s="134">
        <f t="shared" si="9"/>
        <v>0</v>
      </c>
      <c r="P323" s="185">
        <f t="shared" si="9"/>
        <v>0</v>
      </c>
      <c r="Q323" s="134">
        <f t="shared" si="9"/>
        <v>0</v>
      </c>
      <c r="R323" s="185">
        <f t="shared" si="9"/>
        <v>0</v>
      </c>
      <c r="S323" s="134">
        <f t="shared" si="9"/>
        <v>0</v>
      </c>
      <c r="T323" s="141">
        <f t="shared" si="9"/>
        <v>0</v>
      </c>
      <c r="U323" s="134">
        <f t="shared" si="9"/>
        <v>0</v>
      </c>
      <c r="V323" s="185">
        <f t="shared" si="9"/>
        <v>0</v>
      </c>
      <c r="W323" s="134">
        <f t="shared" si="9"/>
        <v>0</v>
      </c>
      <c r="X323" s="141">
        <f t="shared" si="9"/>
        <v>0</v>
      </c>
      <c r="Y323" s="183">
        <f t="shared" si="10"/>
        <v>0</v>
      </c>
      <c r="Z323" s="183" t="str">
        <f t="shared" si="10"/>
        <v/>
      </c>
      <c r="AA323" s="135">
        <f t="shared" si="10"/>
        <v>0</v>
      </c>
    </row>
    <row r="324" spans="2:27" x14ac:dyDescent="0.2">
      <c r="B324" s="133">
        <f t="shared" si="9"/>
        <v>0</v>
      </c>
      <c r="C324" s="134">
        <f t="shared" si="9"/>
        <v>0</v>
      </c>
      <c r="D324" s="185">
        <f t="shared" si="7"/>
        <v>0</v>
      </c>
      <c r="E324" s="134">
        <f t="shared" si="7"/>
        <v>0</v>
      </c>
      <c r="F324" s="185">
        <f t="shared" si="9"/>
        <v>0</v>
      </c>
      <c r="G324" s="134">
        <f t="shared" si="9"/>
        <v>0</v>
      </c>
      <c r="H324" s="185">
        <f t="shared" si="9"/>
        <v>0</v>
      </c>
      <c r="I324" s="134">
        <f t="shared" si="9"/>
        <v>0</v>
      </c>
      <c r="J324" s="185">
        <f t="shared" si="9"/>
        <v>0</v>
      </c>
      <c r="K324" s="134">
        <f t="shared" si="9"/>
        <v>0</v>
      </c>
      <c r="L324" s="185">
        <f t="shared" si="9"/>
        <v>0</v>
      </c>
      <c r="M324" s="134">
        <f t="shared" si="9"/>
        <v>0</v>
      </c>
      <c r="N324" s="185">
        <f t="shared" si="9"/>
        <v>0</v>
      </c>
      <c r="O324" s="134">
        <f t="shared" si="9"/>
        <v>0</v>
      </c>
      <c r="P324" s="185">
        <f t="shared" si="9"/>
        <v>0</v>
      </c>
      <c r="Q324" s="134">
        <f t="shared" si="9"/>
        <v>0</v>
      </c>
      <c r="R324" s="185">
        <f t="shared" si="9"/>
        <v>0</v>
      </c>
      <c r="S324" s="134">
        <f t="shared" si="9"/>
        <v>0</v>
      </c>
      <c r="T324" s="141">
        <f t="shared" si="9"/>
        <v>0</v>
      </c>
      <c r="U324" s="134">
        <f t="shared" si="9"/>
        <v>0</v>
      </c>
      <c r="V324" s="185">
        <f t="shared" si="9"/>
        <v>0</v>
      </c>
      <c r="W324" s="134">
        <f t="shared" si="9"/>
        <v>0</v>
      </c>
      <c r="X324" s="141">
        <f t="shared" si="9"/>
        <v>0</v>
      </c>
      <c r="Y324" s="183">
        <f t="shared" si="10"/>
        <v>0</v>
      </c>
      <c r="Z324" s="183" t="str">
        <f t="shared" si="10"/>
        <v/>
      </c>
      <c r="AA324" s="135">
        <f t="shared" si="10"/>
        <v>0</v>
      </c>
    </row>
    <row r="325" spans="2:27" x14ac:dyDescent="0.2">
      <c r="B325" s="133">
        <f t="shared" si="9"/>
        <v>0</v>
      </c>
      <c r="C325" s="134">
        <f t="shared" si="9"/>
        <v>0</v>
      </c>
      <c r="D325" s="185">
        <f t="shared" si="7"/>
        <v>0</v>
      </c>
      <c r="E325" s="134">
        <f t="shared" si="7"/>
        <v>0</v>
      </c>
      <c r="F325" s="185">
        <f t="shared" si="9"/>
        <v>0</v>
      </c>
      <c r="G325" s="134">
        <f t="shared" si="9"/>
        <v>0</v>
      </c>
      <c r="H325" s="185">
        <f t="shared" si="9"/>
        <v>0</v>
      </c>
      <c r="I325" s="134">
        <f t="shared" si="9"/>
        <v>0</v>
      </c>
      <c r="J325" s="185">
        <f t="shared" si="9"/>
        <v>0</v>
      </c>
      <c r="K325" s="134">
        <f t="shared" si="9"/>
        <v>0</v>
      </c>
      <c r="L325" s="185">
        <f t="shared" si="9"/>
        <v>0</v>
      </c>
      <c r="M325" s="134">
        <f t="shared" si="9"/>
        <v>0</v>
      </c>
      <c r="N325" s="185">
        <f t="shared" si="9"/>
        <v>0</v>
      </c>
      <c r="O325" s="134">
        <f t="shared" si="9"/>
        <v>0</v>
      </c>
      <c r="P325" s="185">
        <f t="shared" si="9"/>
        <v>0</v>
      </c>
      <c r="Q325" s="134">
        <f t="shared" si="9"/>
        <v>0</v>
      </c>
      <c r="R325" s="185">
        <f t="shared" si="9"/>
        <v>0</v>
      </c>
      <c r="S325" s="134">
        <f t="shared" si="9"/>
        <v>0</v>
      </c>
      <c r="T325" s="141">
        <f t="shared" si="9"/>
        <v>0</v>
      </c>
      <c r="U325" s="134">
        <f t="shared" si="9"/>
        <v>0</v>
      </c>
      <c r="V325" s="185">
        <f t="shared" si="9"/>
        <v>0</v>
      </c>
      <c r="W325" s="134">
        <f t="shared" si="9"/>
        <v>0</v>
      </c>
      <c r="X325" s="141">
        <f t="shared" si="9"/>
        <v>0</v>
      </c>
      <c r="Y325" s="183">
        <f t="shared" si="10"/>
        <v>0</v>
      </c>
      <c r="Z325" s="183" t="str">
        <f t="shared" si="10"/>
        <v/>
      </c>
      <c r="AA325" s="135">
        <f t="shared" si="10"/>
        <v>0</v>
      </c>
    </row>
    <row r="326" spans="2:27" x14ac:dyDescent="0.2">
      <c r="B326" s="133">
        <f t="shared" si="9"/>
        <v>0</v>
      </c>
      <c r="C326" s="134">
        <f t="shared" si="9"/>
        <v>0</v>
      </c>
      <c r="D326" s="185">
        <f t="shared" si="7"/>
        <v>0</v>
      </c>
      <c r="E326" s="134">
        <f t="shared" si="7"/>
        <v>0</v>
      </c>
      <c r="F326" s="185">
        <f t="shared" si="9"/>
        <v>0</v>
      </c>
      <c r="G326" s="134">
        <f t="shared" si="9"/>
        <v>0</v>
      </c>
      <c r="H326" s="185">
        <f t="shared" si="9"/>
        <v>0</v>
      </c>
      <c r="I326" s="134">
        <f t="shared" si="9"/>
        <v>0</v>
      </c>
      <c r="J326" s="185">
        <f t="shared" si="9"/>
        <v>0</v>
      </c>
      <c r="K326" s="134">
        <f t="shared" si="9"/>
        <v>0</v>
      </c>
      <c r="L326" s="185">
        <f t="shared" si="9"/>
        <v>0</v>
      </c>
      <c r="M326" s="134">
        <f t="shared" si="9"/>
        <v>0</v>
      </c>
      <c r="N326" s="185">
        <f t="shared" si="9"/>
        <v>0</v>
      </c>
      <c r="O326" s="134">
        <f t="shared" si="9"/>
        <v>0</v>
      </c>
      <c r="P326" s="185">
        <f t="shared" si="9"/>
        <v>0</v>
      </c>
      <c r="Q326" s="134">
        <f t="shared" si="9"/>
        <v>0</v>
      </c>
      <c r="R326" s="185">
        <f t="shared" si="9"/>
        <v>0</v>
      </c>
      <c r="S326" s="134">
        <f t="shared" si="9"/>
        <v>0</v>
      </c>
      <c r="T326" s="141">
        <f t="shared" si="9"/>
        <v>0</v>
      </c>
      <c r="U326" s="134">
        <f t="shared" si="9"/>
        <v>0</v>
      </c>
      <c r="V326" s="185">
        <f t="shared" si="9"/>
        <v>0</v>
      </c>
      <c r="W326" s="134">
        <f t="shared" si="9"/>
        <v>0</v>
      </c>
      <c r="X326" s="141">
        <f t="shared" si="9"/>
        <v>0</v>
      </c>
      <c r="Y326" s="183">
        <f t="shared" si="10"/>
        <v>0</v>
      </c>
      <c r="Z326" s="183" t="str">
        <f t="shared" si="10"/>
        <v/>
      </c>
      <c r="AA326" s="135">
        <f t="shared" si="10"/>
        <v>0</v>
      </c>
    </row>
    <row r="327" spans="2:27" x14ac:dyDescent="0.2">
      <c r="B327" s="133">
        <f t="shared" si="9"/>
        <v>0</v>
      </c>
      <c r="C327" s="134">
        <f t="shared" si="9"/>
        <v>0</v>
      </c>
      <c r="D327" s="185">
        <f t="shared" si="7"/>
        <v>0</v>
      </c>
      <c r="E327" s="134">
        <f t="shared" si="7"/>
        <v>0</v>
      </c>
      <c r="F327" s="185">
        <f t="shared" si="9"/>
        <v>0</v>
      </c>
      <c r="G327" s="134">
        <f t="shared" si="9"/>
        <v>0</v>
      </c>
      <c r="H327" s="185">
        <f t="shared" si="9"/>
        <v>0</v>
      </c>
      <c r="I327" s="134">
        <f t="shared" si="9"/>
        <v>0</v>
      </c>
      <c r="J327" s="185">
        <f t="shared" si="9"/>
        <v>0</v>
      </c>
      <c r="K327" s="134">
        <f t="shared" si="9"/>
        <v>0</v>
      </c>
      <c r="L327" s="185">
        <f t="shared" si="9"/>
        <v>0</v>
      </c>
      <c r="M327" s="134">
        <f t="shared" si="9"/>
        <v>0</v>
      </c>
      <c r="N327" s="185">
        <f t="shared" si="9"/>
        <v>0</v>
      </c>
      <c r="O327" s="134">
        <f t="shared" si="9"/>
        <v>0</v>
      </c>
      <c r="P327" s="185">
        <f t="shared" si="9"/>
        <v>0</v>
      </c>
      <c r="Q327" s="134">
        <f t="shared" si="9"/>
        <v>0</v>
      </c>
      <c r="R327" s="185">
        <f t="shared" si="9"/>
        <v>0</v>
      </c>
      <c r="S327" s="134">
        <f t="shared" si="9"/>
        <v>0</v>
      </c>
      <c r="T327" s="141">
        <f t="shared" si="9"/>
        <v>0</v>
      </c>
      <c r="U327" s="134">
        <f t="shared" si="9"/>
        <v>0</v>
      </c>
      <c r="V327" s="185">
        <f t="shared" si="9"/>
        <v>0</v>
      </c>
      <c r="W327" s="134">
        <f t="shared" si="9"/>
        <v>0</v>
      </c>
      <c r="X327" s="141">
        <f t="shared" si="9"/>
        <v>0</v>
      </c>
      <c r="Y327" s="183">
        <f t="shared" si="10"/>
        <v>0</v>
      </c>
      <c r="Z327" s="183" t="str">
        <f t="shared" si="10"/>
        <v/>
      </c>
      <c r="AA327" s="135">
        <f t="shared" si="10"/>
        <v>0</v>
      </c>
    </row>
    <row r="328" spans="2:27" x14ac:dyDescent="0.2">
      <c r="B328" s="133">
        <f t="shared" si="9"/>
        <v>0</v>
      </c>
      <c r="C328" s="134">
        <f t="shared" si="9"/>
        <v>0</v>
      </c>
      <c r="D328" s="185">
        <f t="shared" si="7"/>
        <v>0</v>
      </c>
      <c r="E328" s="134">
        <f t="shared" si="7"/>
        <v>0</v>
      </c>
      <c r="F328" s="185">
        <f t="shared" si="9"/>
        <v>0</v>
      </c>
      <c r="G328" s="134">
        <f t="shared" si="9"/>
        <v>0</v>
      </c>
      <c r="H328" s="185">
        <f t="shared" si="9"/>
        <v>0</v>
      </c>
      <c r="I328" s="134">
        <f t="shared" si="9"/>
        <v>0</v>
      </c>
      <c r="J328" s="185">
        <f t="shared" si="9"/>
        <v>0</v>
      </c>
      <c r="K328" s="134">
        <f t="shared" si="9"/>
        <v>0</v>
      </c>
      <c r="L328" s="185">
        <f t="shared" si="9"/>
        <v>0</v>
      </c>
      <c r="M328" s="134">
        <f t="shared" si="9"/>
        <v>0</v>
      </c>
      <c r="N328" s="185">
        <f t="shared" si="9"/>
        <v>0</v>
      </c>
      <c r="O328" s="134">
        <f t="shared" si="9"/>
        <v>0</v>
      </c>
      <c r="P328" s="185">
        <f t="shared" si="9"/>
        <v>0</v>
      </c>
      <c r="Q328" s="134">
        <f t="shared" si="9"/>
        <v>0</v>
      </c>
      <c r="R328" s="185">
        <f t="shared" si="9"/>
        <v>0</v>
      </c>
      <c r="S328" s="134">
        <f t="shared" si="9"/>
        <v>0</v>
      </c>
      <c r="T328" s="141">
        <f t="shared" si="9"/>
        <v>0</v>
      </c>
      <c r="U328" s="134">
        <f t="shared" si="9"/>
        <v>0</v>
      </c>
      <c r="V328" s="185">
        <f t="shared" si="9"/>
        <v>0</v>
      </c>
      <c r="W328" s="134">
        <f t="shared" si="9"/>
        <v>0</v>
      </c>
      <c r="X328" s="141">
        <f t="shared" si="9"/>
        <v>0</v>
      </c>
      <c r="Y328" s="183">
        <f t="shared" si="10"/>
        <v>0</v>
      </c>
      <c r="Z328" s="183" t="str">
        <f t="shared" si="10"/>
        <v/>
      </c>
      <c r="AA328" s="135">
        <f t="shared" si="10"/>
        <v>0</v>
      </c>
    </row>
    <row r="329" spans="2:27" x14ac:dyDescent="0.2">
      <c r="B329" s="133">
        <f t="shared" si="9"/>
        <v>0</v>
      </c>
      <c r="C329" s="134">
        <f t="shared" si="9"/>
        <v>0</v>
      </c>
      <c r="D329" s="185">
        <f t="shared" si="7"/>
        <v>0</v>
      </c>
      <c r="E329" s="134">
        <f t="shared" si="7"/>
        <v>0</v>
      </c>
      <c r="F329" s="185">
        <f t="shared" si="9"/>
        <v>0</v>
      </c>
      <c r="G329" s="134">
        <f t="shared" si="9"/>
        <v>0</v>
      </c>
      <c r="H329" s="185">
        <f t="shared" si="9"/>
        <v>0</v>
      </c>
      <c r="I329" s="134">
        <f t="shared" si="9"/>
        <v>0</v>
      </c>
      <c r="J329" s="185">
        <f t="shared" si="9"/>
        <v>0</v>
      </c>
      <c r="K329" s="134">
        <f t="shared" si="9"/>
        <v>0</v>
      </c>
      <c r="L329" s="185">
        <f t="shared" si="9"/>
        <v>0</v>
      </c>
      <c r="M329" s="134">
        <f t="shared" si="9"/>
        <v>0</v>
      </c>
      <c r="N329" s="185">
        <f t="shared" si="9"/>
        <v>0</v>
      </c>
      <c r="O329" s="134">
        <f t="shared" si="9"/>
        <v>0</v>
      </c>
      <c r="P329" s="185">
        <f t="shared" si="9"/>
        <v>0</v>
      </c>
      <c r="Q329" s="134">
        <f t="shared" si="9"/>
        <v>0</v>
      </c>
      <c r="R329" s="185">
        <f t="shared" si="9"/>
        <v>0</v>
      </c>
      <c r="S329" s="134">
        <f t="shared" si="9"/>
        <v>0</v>
      </c>
      <c r="T329" s="141">
        <f t="shared" si="9"/>
        <v>0</v>
      </c>
      <c r="U329" s="134">
        <f t="shared" si="9"/>
        <v>0</v>
      </c>
      <c r="V329" s="185">
        <f t="shared" si="9"/>
        <v>0</v>
      </c>
      <c r="W329" s="134">
        <f t="shared" si="9"/>
        <v>0</v>
      </c>
      <c r="X329" s="141">
        <f t="shared" si="9"/>
        <v>0</v>
      </c>
      <c r="Y329" s="183">
        <f t="shared" si="10"/>
        <v>0</v>
      </c>
      <c r="Z329" s="183" t="str">
        <f t="shared" si="10"/>
        <v/>
      </c>
      <c r="AA329" s="135">
        <f t="shared" si="10"/>
        <v>0</v>
      </c>
    </row>
    <row r="330" spans="2:27" x14ac:dyDescent="0.2">
      <c r="B330" s="133">
        <f t="shared" si="9"/>
        <v>0</v>
      </c>
      <c r="C330" s="134">
        <f t="shared" si="9"/>
        <v>0</v>
      </c>
      <c r="D330" s="185">
        <f t="shared" si="7"/>
        <v>0</v>
      </c>
      <c r="E330" s="134">
        <f t="shared" si="7"/>
        <v>0</v>
      </c>
      <c r="F330" s="185">
        <f t="shared" si="9"/>
        <v>0</v>
      </c>
      <c r="G330" s="134">
        <f t="shared" si="9"/>
        <v>0</v>
      </c>
      <c r="H330" s="185">
        <f t="shared" si="9"/>
        <v>0</v>
      </c>
      <c r="I330" s="134">
        <f t="shared" si="9"/>
        <v>0</v>
      </c>
      <c r="J330" s="185">
        <f t="shared" si="9"/>
        <v>0</v>
      </c>
      <c r="K330" s="134">
        <f t="shared" si="9"/>
        <v>0</v>
      </c>
      <c r="L330" s="185">
        <f t="shared" si="9"/>
        <v>0</v>
      </c>
      <c r="M330" s="134">
        <f t="shared" si="9"/>
        <v>0</v>
      </c>
      <c r="N330" s="185">
        <f t="shared" si="9"/>
        <v>0</v>
      </c>
      <c r="O330" s="134">
        <f t="shared" si="9"/>
        <v>0</v>
      </c>
      <c r="P330" s="185">
        <f t="shared" si="9"/>
        <v>0</v>
      </c>
      <c r="Q330" s="134">
        <f t="shared" si="9"/>
        <v>0</v>
      </c>
      <c r="R330" s="185">
        <f t="shared" si="9"/>
        <v>0</v>
      </c>
      <c r="S330" s="134">
        <f t="shared" si="9"/>
        <v>0</v>
      </c>
      <c r="T330" s="141">
        <f t="shared" si="9"/>
        <v>0</v>
      </c>
      <c r="U330" s="134">
        <f t="shared" si="9"/>
        <v>0</v>
      </c>
      <c r="V330" s="185">
        <f t="shared" si="9"/>
        <v>0</v>
      </c>
      <c r="W330" s="134">
        <f t="shared" si="9"/>
        <v>0</v>
      </c>
      <c r="X330" s="141">
        <f t="shared" si="9"/>
        <v>0</v>
      </c>
      <c r="Y330" s="183">
        <f t="shared" si="10"/>
        <v>0</v>
      </c>
      <c r="Z330" s="183" t="str">
        <f t="shared" si="10"/>
        <v/>
      </c>
      <c r="AA330" s="135">
        <f t="shared" si="10"/>
        <v>0</v>
      </c>
    </row>
    <row r="331" spans="2:27" x14ac:dyDescent="0.2">
      <c r="B331" s="133">
        <f t="shared" si="9"/>
        <v>0</v>
      </c>
      <c r="C331" s="134">
        <f t="shared" si="9"/>
        <v>0</v>
      </c>
      <c r="D331" s="185">
        <f t="shared" ref="D331:E339" si="11">D32</f>
        <v>0</v>
      </c>
      <c r="E331" s="134">
        <f t="shared" si="11"/>
        <v>0</v>
      </c>
      <c r="F331" s="185">
        <f t="shared" si="9"/>
        <v>0</v>
      </c>
      <c r="G331" s="134">
        <f t="shared" ref="G331:X331" si="12">G32</f>
        <v>0</v>
      </c>
      <c r="H331" s="185">
        <f t="shared" si="12"/>
        <v>0</v>
      </c>
      <c r="I331" s="134">
        <f t="shared" si="12"/>
        <v>0</v>
      </c>
      <c r="J331" s="185">
        <f t="shared" si="12"/>
        <v>0</v>
      </c>
      <c r="K331" s="134">
        <f t="shared" si="12"/>
        <v>0</v>
      </c>
      <c r="L331" s="185">
        <f t="shared" si="12"/>
        <v>0</v>
      </c>
      <c r="M331" s="134">
        <f t="shared" si="12"/>
        <v>0</v>
      </c>
      <c r="N331" s="185">
        <f t="shared" si="12"/>
        <v>0</v>
      </c>
      <c r="O331" s="134">
        <f t="shared" si="12"/>
        <v>0</v>
      </c>
      <c r="P331" s="185">
        <f t="shared" si="12"/>
        <v>0</v>
      </c>
      <c r="Q331" s="134">
        <f t="shared" si="12"/>
        <v>0</v>
      </c>
      <c r="R331" s="185">
        <f t="shared" si="12"/>
        <v>0</v>
      </c>
      <c r="S331" s="134">
        <f t="shared" si="12"/>
        <v>0</v>
      </c>
      <c r="T331" s="141">
        <f t="shared" si="12"/>
        <v>0</v>
      </c>
      <c r="U331" s="134">
        <f t="shared" si="12"/>
        <v>0</v>
      </c>
      <c r="V331" s="185">
        <f t="shared" si="12"/>
        <v>0</v>
      </c>
      <c r="W331" s="134">
        <f t="shared" si="12"/>
        <v>0</v>
      </c>
      <c r="X331" s="141">
        <f t="shared" si="12"/>
        <v>0</v>
      </c>
      <c r="Y331" s="183">
        <f t="shared" si="10"/>
        <v>0</v>
      </c>
      <c r="Z331" s="183" t="str">
        <f t="shared" si="10"/>
        <v/>
      </c>
      <c r="AA331" s="135">
        <f t="shared" si="10"/>
        <v>0</v>
      </c>
    </row>
    <row r="332" spans="2:27" x14ac:dyDescent="0.2">
      <c r="B332" s="133">
        <f t="shared" ref="B332:X339" si="13">B33</f>
        <v>0</v>
      </c>
      <c r="C332" s="134">
        <f t="shared" si="13"/>
        <v>0</v>
      </c>
      <c r="D332" s="185">
        <f t="shared" si="11"/>
        <v>0</v>
      </c>
      <c r="E332" s="134">
        <f t="shared" si="11"/>
        <v>0</v>
      </c>
      <c r="F332" s="185">
        <f t="shared" si="13"/>
        <v>0</v>
      </c>
      <c r="G332" s="134">
        <f t="shared" si="13"/>
        <v>0</v>
      </c>
      <c r="H332" s="185">
        <f t="shared" si="13"/>
        <v>0</v>
      </c>
      <c r="I332" s="134">
        <f t="shared" si="13"/>
        <v>0</v>
      </c>
      <c r="J332" s="185">
        <f t="shared" si="13"/>
        <v>0</v>
      </c>
      <c r="K332" s="134">
        <f t="shared" si="13"/>
        <v>0</v>
      </c>
      <c r="L332" s="185">
        <f t="shared" si="13"/>
        <v>0</v>
      </c>
      <c r="M332" s="134">
        <f t="shared" si="13"/>
        <v>0</v>
      </c>
      <c r="N332" s="185">
        <f t="shared" si="13"/>
        <v>0</v>
      </c>
      <c r="O332" s="134">
        <f t="shared" si="13"/>
        <v>0</v>
      </c>
      <c r="P332" s="185">
        <f t="shared" si="13"/>
        <v>0</v>
      </c>
      <c r="Q332" s="134">
        <f t="shared" si="13"/>
        <v>0</v>
      </c>
      <c r="R332" s="185">
        <f t="shared" si="13"/>
        <v>0</v>
      </c>
      <c r="S332" s="134">
        <f t="shared" si="13"/>
        <v>0</v>
      </c>
      <c r="T332" s="141">
        <f t="shared" si="13"/>
        <v>0</v>
      </c>
      <c r="U332" s="134">
        <f t="shared" si="13"/>
        <v>0</v>
      </c>
      <c r="V332" s="185">
        <f t="shared" si="13"/>
        <v>0</v>
      </c>
      <c r="W332" s="134">
        <f t="shared" si="13"/>
        <v>0</v>
      </c>
      <c r="X332" s="141">
        <f t="shared" si="13"/>
        <v>0</v>
      </c>
      <c r="Y332" s="183">
        <f t="shared" si="10"/>
        <v>0</v>
      </c>
      <c r="Z332" s="183" t="str">
        <f t="shared" si="10"/>
        <v/>
      </c>
      <c r="AA332" s="135">
        <f t="shared" si="10"/>
        <v>0</v>
      </c>
    </row>
    <row r="333" spans="2:27" x14ac:dyDescent="0.2">
      <c r="B333" s="133">
        <f t="shared" si="13"/>
        <v>0</v>
      </c>
      <c r="C333" s="134">
        <f t="shared" si="13"/>
        <v>0</v>
      </c>
      <c r="D333" s="185">
        <f t="shared" si="11"/>
        <v>0</v>
      </c>
      <c r="E333" s="134">
        <f t="shared" si="11"/>
        <v>0</v>
      </c>
      <c r="F333" s="185">
        <f t="shared" si="13"/>
        <v>0</v>
      </c>
      <c r="G333" s="134">
        <f t="shared" si="13"/>
        <v>0</v>
      </c>
      <c r="H333" s="185">
        <f t="shared" si="13"/>
        <v>0</v>
      </c>
      <c r="I333" s="134">
        <f t="shared" si="13"/>
        <v>0</v>
      </c>
      <c r="J333" s="185">
        <f t="shared" si="13"/>
        <v>0</v>
      </c>
      <c r="K333" s="134">
        <f t="shared" si="13"/>
        <v>0</v>
      </c>
      <c r="L333" s="185">
        <f t="shared" si="13"/>
        <v>0</v>
      </c>
      <c r="M333" s="134">
        <f t="shared" si="13"/>
        <v>0</v>
      </c>
      <c r="N333" s="185">
        <f t="shared" si="13"/>
        <v>0</v>
      </c>
      <c r="O333" s="134">
        <f t="shared" si="13"/>
        <v>0</v>
      </c>
      <c r="P333" s="185">
        <f t="shared" si="13"/>
        <v>0</v>
      </c>
      <c r="Q333" s="134">
        <f t="shared" si="13"/>
        <v>0</v>
      </c>
      <c r="R333" s="185">
        <f t="shared" si="13"/>
        <v>0</v>
      </c>
      <c r="S333" s="134">
        <f t="shared" si="13"/>
        <v>0</v>
      </c>
      <c r="T333" s="141">
        <f t="shared" si="13"/>
        <v>0</v>
      </c>
      <c r="U333" s="134">
        <f t="shared" si="13"/>
        <v>0</v>
      </c>
      <c r="V333" s="185">
        <f t="shared" si="13"/>
        <v>0</v>
      </c>
      <c r="W333" s="134">
        <f t="shared" si="13"/>
        <v>0</v>
      </c>
      <c r="X333" s="141">
        <f t="shared" si="13"/>
        <v>0</v>
      </c>
      <c r="Y333" s="183">
        <f t="shared" si="10"/>
        <v>0</v>
      </c>
      <c r="Z333" s="183" t="str">
        <f t="shared" si="10"/>
        <v/>
      </c>
      <c r="AA333" s="135">
        <f t="shared" si="10"/>
        <v>0</v>
      </c>
    </row>
    <row r="334" spans="2:27" x14ac:dyDescent="0.2">
      <c r="B334" s="133">
        <f t="shared" si="13"/>
        <v>0</v>
      </c>
      <c r="C334" s="134">
        <f t="shared" si="13"/>
        <v>0</v>
      </c>
      <c r="D334" s="185">
        <f t="shared" si="11"/>
        <v>0</v>
      </c>
      <c r="E334" s="134">
        <f t="shared" si="11"/>
        <v>0</v>
      </c>
      <c r="F334" s="185">
        <f t="shared" si="13"/>
        <v>0</v>
      </c>
      <c r="G334" s="134">
        <f t="shared" si="13"/>
        <v>0</v>
      </c>
      <c r="H334" s="185">
        <f t="shared" si="13"/>
        <v>0</v>
      </c>
      <c r="I334" s="134">
        <f t="shared" si="13"/>
        <v>0</v>
      </c>
      <c r="J334" s="185">
        <f t="shared" si="13"/>
        <v>0</v>
      </c>
      <c r="K334" s="134">
        <f t="shared" si="13"/>
        <v>0</v>
      </c>
      <c r="L334" s="185">
        <f t="shared" si="13"/>
        <v>0</v>
      </c>
      <c r="M334" s="134">
        <f t="shared" si="13"/>
        <v>0</v>
      </c>
      <c r="N334" s="185">
        <f t="shared" si="13"/>
        <v>0</v>
      </c>
      <c r="O334" s="134">
        <f t="shared" si="13"/>
        <v>0</v>
      </c>
      <c r="P334" s="185">
        <f t="shared" si="13"/>
        <v>0</v>
      </c>
      <c r="Q334" s="134">
        <f t="shared" si="13"/>
        <v>0</v>
      </c>
      <c r="R334" s="185">
        <f t="shared" si="13"/>
        <v>0</v>
      </c>
      <c r="S334" s="134">
        <f t="shared" si="13"/>
        <v>0</v>
      </c>
      <c r="T334" s="141">
        <f t="shared" si="13"/>
        <v>0</v>
      </c>
      <c r="U334" s="134">
        <f t="shared" si="13"/>
        <v>0</v>
      </c>
      <c r="V334" s="185">
        <f t="shared" si="13"/>
        <v>0</v>
      </c>
      <c r="W334" s="134">
        <f t="shared" si="13"/>
        <v>0</v>
      </c>
      <c r="X334" s="141">
        <f t="shared" si="13"/>
        <v>0</v>
      </c>
      <c r="Y334" s="183">
        <f t="shared" si="10"/>
        <v>0</v>
      </c>
      <c r="Z334" s="183" t="str">
        <f t="shared" si="10"/>
        <v/>
      </c>
      <c r="AA334" s="135">
        <f t="shared" si="10"/>
        <v>0</v>
      </c>
    </row>
    <row r="335" spans="2:27" x14ac:dyDescent="0.2">
      <c r="B335" s="133">
        <f t="shared" si="13"/>
        <v>0</v>
      </c>
      <c r="C335" s="134">
        <f t="shared" si="13"/>
        <v>0</v>
      </c>
      <c r="D335" s="185">
        <f t="shared" si="11"/>
        <v>0</v>
      </c>
      <c r="E335" s="134">
        <f t="shared" si="11"/>
        <v>0</v>
      </c>
      <c r="F335" s="185">
        <f t="shared" si="13"/>
        <v>0</v>
      </c>
      <c r="G335" s="134">
        <f t="shared" si="13"/>
        <v>0</v>
      </c>
      <c r="H335" s="185">
        <f t="shared" si="13"/>
        <v>0</v>
      </c>
      <c r="I335" s="134">
        <f t="shared" si="13"/>
        <v>0</v>
      </c>
      <c r="J335" s="185">
        <f t="shared" si="13"/>
        <v>0</v>
      </c>
      <c r="K335" s="134">
        <f t="shared" si="13"/>
        <v>0</v>
      </c>
      <c r="L335" s="185">
        <f t="shared" si="13"/>
        <v>0</v>
      </c>
      <c r="M335" s="134">
        <f t="shared" si="13"/>
        <v>0</v>
      </c>
      <c r="N335" s="185">
        <f t="shared" si="13"/>
        <v>0</v>
      </c>
      <c r="O335" s="134">
        <f t="shared" si="13"/>
        <v>0</v>
      </c>
      <c r="P335" s="185">
        <f t="shared" si="13"/>
        <v>0</v>
      </c>
      <c r="Q335" s="134">
        <f t="shared" si="13"/>
        <v>0</v>
      </c>
      <c r="R335" s="185">
        <f t="shared" si="13"/>
        <v>0</v>
      </c>
      <c r="S335" s="134">
        <f t="shared" si="13"/>
        <v>0</v>
      </c>
      <c r="T335" s="141">
        <f t="shared" si="13"/>
        <v>0</v>
      </c>
      <c r="U335" s="134">
        <f t="shared" si="13"/>
        <v>0</v>
      </c>
      <c r="V335" s="185">
        <f t="shared" si="13"/>
        <v>0</v>
      </c>
      <c r="W335" s="134">
        <f t="shared" si="13"/>
        <v>0</v>
      </c>
      <c r="X335" s="141">
        <f t="shared" si="13"/>
        <v>0</v>
      </c>
      <c r="Y335" s="183">
        <f t="shared" si="10"/>
        <v>0</v>
      </c>
      <c r="Z335" s="183" t="str">
        <f t="shared" si="10"/>
        <v/>
      </c>
      <c r="AA335" s="135">
        <f t="shared" si="10"/>
        <v>0</v>
      </c>
    </row>
    <row r="336" spans="2:27" x14ac:dyDescent="0.2">
      <c r="B336" s="133">
        <f t="shared" si="13"/>
        <v>0</v>
      </c>
      <c r="C336" s="134">
        <f t="shared" si="13"/>
        <v>0</v>
      </c>
      <c r="D336" s="186">
        <f t="shared" si="11"/>
        <v>0</v>
      </c>
      <c r="E336" s="134">
        <f t="shared" si="11"/>
        <v>0</v>
      </c>
      <c r="F336" s="186">
        <f t="shared" si="13"/>
        <v>0</v>
      </c>
      <c r="G336" s="134">
        <f t="shared" si="13"/>
        <v>0</v>
      </c>
      <c r="H336" s="186">
        <f t="shared" si="13"/>
        <v>0</v>
      </c>
      <c r="I336" s="134">
        <f t="shared" si="13"/>
        <v>0</v>
      </c>
      <c r="J336" s="186">
        <f t="shared" si="13"/>
        <v>0</v>
      </c>
      <c r="K336" s="134">
        <f t="shared" si="13"/>
        <v>0</v>
      </c>
      <c r="L336" s="186">
        <f t="shared" si="13"/>
        <v>0</v>
      </c>
      <c r="M336" s="134">
        <f t="shared" si="13"/>
        <v>0</v>
      </c>
      <c r="N336" s="186">
        <f t="shared" si="13"/>
        <v>0</v>
      </c>
      <c r="O336" s="134">
        <f t="shared" si="13"/>
        <v>0</v>
      </c>
      <c r="P336" s="186">
        <f t="shared" si="13"/>
        <v>0</v>
      </c>
      <c r="Q336" s="134">
        <f t="shared" si="13"/>
        <v>0</v>
      </c>
      <c r="R336" s="186">
        <f t="shared" si="13"/>
        <v>0</v>
      </c>
      <c r="S336" s="134">
        <f t="shared" si="13"/>
        <v>0</v>
      </c>
      <c r="T336" s="187">
        <f t="shared" si="13"/>
        <v>0</v>
      </c>
      <c r="U336" s="134">
        <f t="shared" si="13"/>
        <v>0</v>
      </c>
      <c r="V336" s="186">
        <f t="shared" si="13"/>
        <v>0</v>
      </c>
      <c r="W336" s="134">
        <f t="shared" si="13"/>
        <v>0</v>
      </c>
      <c r="X336" s="187">
        <f t="shared" si="13"/>
        <v>0</v>
      </c>
      <c r="Y336" s="183">
        <f t="shared" si="10"/>
        <v>0</v>
      </c>
      <c r="Z336" s="183">
        <f t="shared" si="10"/>
        <v>0</v>
      </c>
      <c r="AA336" s="135">
        <f t="shared" si="10"/>
        <v>0</v>
      </c>
    </row>
    <row r="337" spans="2:27" x14ac:dyDescent="0.2">
      <c r="B337" s="133">
        <f t="shared" si="13"/>
        <v>0</v>
      </c>
      <c r="C337" s="134">
        <f t="shared" si="13"/>
        <v>0</v>
      </c>
      <c r="D337" s="183">
        <f t="shared" si="11"/>
        <v>0</v>
      </c>
      <c r="E337" s="134">
        <f t="shared" si="11"/>
        <v>0</v>
      </c>
      <c r="F337" s="183">
        <f t="shared" si="13"/>
        <v>0</v>
      </c>
      <c r="G337" s="134">
        <f t="shared" si="13"/>
        <v>0</v>
      </c>
      <c r="H337" s="183">
        <f t="shared" si="13"/>
        <v>0</v>
      </c>
      <c r="I337" s="134">
        <f t="shared" si="13"/>
        <v>0</v>
      </c>
      <c r="J337" s="183">
        <f t="shared" si="13"/>
        <v>0</v>
      </c>
      <c r="K337" s="134">
        <f t="shared" si="13"/>
        <v>0</v>
      </c>
      <c r="L337" s="183">
        <f t="shared" si="13"/>
        <v>0</v>
      </c>
      <c r="M337" s="134">
        <f t="shared" si="13"/>
        <v>0</v>
      </c>
      <c r="N337" s="183">
        <f t="shared" si="13"/>
        <v>0</v>
      </c>
      <c r="O337" s="134">
        <f t="shared" si="13"/>
        <v>0</v>
      </c>
      <c r="P337" s="183">
        <f t="shared" si="13"/>
        <v>0</v>
      </c>
      <c r="Q337" s="134">
        <f t="shared" si="13"/>
        <v>0</v>
      </c>
      <c r="R337" s="183">
        <f t="shared" si="13"/>
        <v>0</v>
      </c>
      <c r="S337" s="134">
        <f t="shared" si="13"/>
        <v>0</v>
      </c>
      <c r="T337" s="183">
        <f t="shared" si="13"/>
        <v>0</v>
      </c>
      <c r="U337" s="134">
        <f t="shared" si="13"/>
        <v>0</v>
      </c>
      <c r="V337" s="183">
        <f t="shared" si="13"/>
        <v>0</v>
      </c>
      <c r="W337" s="134">
        <f t="shared" si="13"/>
        <v>0</v>
      </c>
      <c r="X337" s="183">
        <f t="shared" si="13"/>
        <v>0</v>
      </c>
      <c r="Y337" s="183">
        <f t="shared" ref="Y337:AA338" si="14">Y39</f>
        <v>0</v>
      </c>
      <c r="Z337" s="160">
        <f t="shared" si="14"/>
        <v>10</v>
      </c>
      <c r="AA337" s="135">
        <f t="shared" si="14"/>
        <v>0</v>
      </c>
    </row>
    <row r="338" spans="2:27" x14ac:dyDescent="0.2">
      <c r="B338" s="188" t="str">
        <f>CONCATENATE("ביקורת:   ",BikoretCode)</f>
        <v xml:space="preserve">ביקורת:   </v>
      </c>
      <c r="C338" s="134">
        <f t="shared" si="13"/>
        <v>0</v>
      </c>
      <c r="D338" s="134">
        <f t="shared" si="11"/>
        <v>0</v>
      </c>
      <c r="E338" s="134">
        <f t="shared" si="11"/>
        <v>0</v>
      </c>
      <c r="F338" s="134">
        <f t="shared" si="13"/>
        <v>0</v>
      </c>
      <c r="G338" s="134">
        <f t="shared" si="13"/>
        <v>0</v>
      </c>
      <c r="H338" s="134">
        <f t="shared" si="13"/>
        <v>0</v>
      </c>
      <c r="I338" s="134">
        <f t="shared" si="13"/>
        <v>0</v>
      </c>
      <c r="J338" s="134">
        <f t="shared" si="13"/>
        <v>0</v>
      </c>
      <c r="K338" s="134">
        <f t="shared" si="13"/>
        <v>0</v>
      </c>
      <c r="L338" s="134">
        <f t="shared" si="13"/>
        <v>0</v>
      </c>
      <c r="M338" s="134">
        <f t="shared" si="13"/>
        <v>0</v>
      </c>
      <c r="N338" s="134">
        <f t="shared" si="13"/>
        <v>0</v>
      </c>
      <c r="O338" s="134">
        <f t="shared" si="13"/>
        <v>0</v>
      </c>
      <c r="P338" s="134">
        <f t="shared" si="13"/>
        <v>0</v>
      </c>
      <c r="Q338" s="134">
        <f t="shared" si="13"/>
        <v>0</v>
      </c>
      <c r="R338" s="134">
        <f t="shared" si="13"/>
        <v>0</v>
      </c>
      <c r="S338" s="134">
        <f t="shared" si="13"/>
        <v>0</v>
      </c>
      <c r="T338" s="134">
        <f t="shared" si="13"/>
        <v>0</v>
      </c>
      <c r="U338" s="134">
        <f t="shared" si="13"/>
        <v>0</v>
      </c>
      <c r="V338" s="134">
        <f t="shared" si="13"/>
        <v>0</v>
      </c>
      <c r="W338" s="134">
        <f t="shared" si="13"/>
        <v>0</v>
      </c>
      <c r="X338" s="134">
        <f t="shared" si="13"/>
        <v>0</v>
      </c>
      <c r="Y338" s="183">
        <f t="shared" si="14"/>
        <v>0</v>
      </c>
      <c r="Z338" s="183">
        <f t="shared" si="14"/>
        <v>0</v>
      </c>
      <c r="AA338" s="135">
        <f t="shared" si="14"/>
        <v>0</v>
      </c>
    </row>
    <row r="339" spans="2:27" x14ac:dyDescent="0.2">
      <c r="B339" s="133">
        <f>B40</f>
        <v>0</v>
      </c>
      <c r="C339" s="134">
        <f t="shared" si="13"/>
        <v>0</v>
      </c>
      <c r="D339" s="134">
        <f t="shared" si="11"/>
        <v>0</v>
      </c>
      <c r="E339" s="134">
        <f t="shared" si="11"/>
        <v>0</v>
      </c>
      <c r="F339" s="134">
        <f t="shared" si="13"/>
        <v>0</v>
      </c>
      <c r="G339" s="134">
        <f t="shared" si="13"/>
        <v>0</v>
      </c>
      <c r="H339" s="134">
        <f t="shared" si="13"/>
        <v>0</v>
      </c>
      <c r="I339" s="134">
        <f t="shared" si="13"/>
        <v>0</v>
      </c>
      <c r="J339" s="134">
        <f t="shared" si="13"/>
        <v>0</v>
      </c>
      <c r="K339" s="134">
        <f t="shared" si="13"/>
        <v>0</v>
      </c>
      <c r="L339" s="134">
        <f t="shared" si="13"/>
        <v>0</v>
      </c>
      <c r="M339" s="134">
        <f t="shared" si="13"/>
        <v>0</v>
      </c>
      <c r="N339" s="134">
        <f t="shared" si="13"/>
        <v>0</v>
      </c>
      <c r="O339" s="134">
        <f t="shared" si="13"/>
        <v>0</v>
      </c>
      <c r="P339" s="134">
        <f t="shared" si="13"/>
        <v>0</v>
      </c>
      <c r="Q339" s="134">
        <f t="shared" si="13"/>
        <v>0</v>
      </c>
      <c r="R339" s="134">
        <f t="shared" si="13"/>
        <v>0</v>
      </c>
      <c r="S339" s="134">
        <f t="shared" si="13"/>
        <v>0</v>
      </c>
      <c r="T339" s="134">
        <f t="shared" si="13"/>
        <v>0</v>
      </c>
      <c r="U339" s="134">
        <f t="shared" si="13"/>
        <v>0</v>
      </c>
      <c r="V339" s="134">
        <f t="shared" si="13"/>
        <v>0</v>
      </c>
      <c r="W339" s="134">
        <f t="shared" si="13"/>
        <v>0</v>
      </c>
      <c r="X339" s="134">
        <f t="shared" si="13"/>
        <v>0</v>
      </c>
    </row>
  </sheetData>
  <sheetProtection password="83C1" sheet="1" objects="1" scenarios="1"/>
  <mergeCells count="6">
    <mergeCell ref="B300:X300"/>
    <mergeCell ref="B301:X301"/>
    <mergeCell ref="J1:X1"/>
    <mergeCell ref="J2:X2"/>
    <mergeCell ref="J3:X3"/>
    <mergeCell ref="B299:X299"/>
  </mergeCells>
  <phoneticPr fontId="58" type="noConversion"/>
  <conditionalFormatting sqref="B6">
    <cfRule type="expression" dxfId="1" priority="1" stopIfTrue="1">
      <formula>Y38&lt;&gt;0</formula>
    </cfRule>
  </conditionalFormatting>
  <conditionalFormatting sqref="B8:B37 B307:B336">
    <cfRule type="expression" dxfId="0" priority="2" stopIfTrue="1">
      <formula>AND($B8=0,OR($J8&lt;&gt;0,$L8&lt;&gt;0,$N8&lt;&gt;0,$P8&lt;&gt;0,$R8&lt;&gt;0,$V8&lt;&gt;0))</formula>
    </cfRule>
  </conditionalFormatting>
  <dataValidations count="3">
    <dataValidation allowBlank="1" showInputMessage="1" showErrorMessage="1" errorTitle="שגיאה" error="תחילה יש להקליד את תיאור התפקיד" sqref="J8:K8"/>
    <dataValidation type="whole" allowBlank="1" showErrorMessage="1" errorTitle="יישום הדוח הרבעוני" error="יש להזין נתון מספרי" sqref="H8:H37 F8:F37">
      <formula1>0</formula1>
      <formula2>999999999999</formula2>
    </dataValidation>
    <dataValidation type="custom" allowBlank="1" showErrorMessage="1" errorTitle="יישום הדוח הרבעוני" error="יש להזין נתון מספרי" sqref="D8:D37">
      <formula1>NOT(ISERROR(VALUE(D8)))</formula1>
    </dataValidation>
  </dataValidations>
  <hyperlinks>
    <hyperlink ref="A4" location="'תוכן הענינים'!A1" tooltip="לחץ להצגת גליון תוכן הענינים" display="הצג תוכן ענינים"/>
  </hyperlinks>
  <printOptions horizontalCentered="1"/>
  <pageMargins left="0.31" right="0.28000000000000003" top="0.63" bottom="1" header="0.19" footer="0.5"/>
  <pageSetup paperSize="9" scale="89" orientation="landscape" blackAndWhite="1" r:id="rId1"/>
  <headerFooter alignWithMargins="0">
    <oddFooter>&amp;C&amp;P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/>
  <dimension ref="A1:B4"/>
  <sheetViews>
    <sheetView rightToLeft="1" workbookViewId="0"/>
  </sheetViews>
  <sheetFormatPr defaultColWidth="9.140625" defaultRowHeight="12.75" x14ac:dyDescent="0.2"/>
  <cols>
    <col min="1" max="16384" width="9.140625" style="149"/>
  </cols>
  <sheetData>
    <row r="1" spans="1:2" x14ac:dyDescent="0.2">
      <c r="A1" s="148" t="s">
        <v>584</v>
      </c>
    </row>
    <row r="2" spans="1:2" x14ac:dyDescent="0.2">
      <c r="A2" s="148"/>
    </row>
    <row r="3" spans="1:2" x14ac:dyDescent="0.2">
      <c r="A3" s="150">
        <v>1</v>
      </c>
      <c r="B3" s="588" t="s">
        <v>990</v>
      </c>
    </row>
    <row r="4" spans="1:2" x14ac:dyDescent="0.2">
      <c r="B4" s="588"/>
    </row>
  </sheetData>
  <phoneticPr fontId="58" type="noConversion"/>
  <hyperlinks>
    <hyperlink ref="A1" location="'תוכן הענינים'!A1" tooltip="לחץ להצגת גליון תוכן הענינים" display="הצג תוכן ענינים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pageSetUpPr autoPageBreaks="0"/>
  </sheetPr>
  <dimension ref="A1:L73"/>
  <sheetViews>
    <sheetView showRowColHeaders="0" rightToLeft="1" showOutlineSymbols="0" zoomScale="90" zoomScaleNormal="90" zoomScaleSheetLayoutView="75" workbookViewId="0"/>
  </sheetViews>
  <sheetFormatPr defaultColWidth="9.140625" defaultRowHeight="12.75" x14ac:dyDescent="0.2"/>
  <cols>
    <col min="1" max="1" width="2.7109375" style="1" customWidth="1"/>
    <col min="2" max="3" width="3.42578125" style="1" customWidth="1"/>
    <col min="4" max="4" width="9.140625" style="1"/>
    <col min="5" max="5" width="10.42578125" style="1" customWidth="1"/>
    <col min="6" max="6" width="17.140625" style="1" customWidth="1"/>
    <col min="7" max="9" width="12.28515625" style="1" customWidth="1"/>
    <col min="10" max="10" width="9.7109375" style="1" customWidth="1"/>
    <col min="11" max="11" width="29" style="1" customWidth="1"/>
    <col min="12" max="16384" width="9.140625" style="1"/>
  </cols>
  <sheetData>
    <row r="1" spans="1:11" ht="15.75" x14ac:dyDescent="0.2">
      <c r="A1" s="2" t="s">
        <v>574</v>
      </c>
      <c r="B1" s="3"/>
      <c r="C1" s="3"/>
      <c r="D1" s="3"/>
      <c r="E1" s="3"/>
      <c r="F1" s="652" t="e">
        <f>#REF!</f>
        <v>#REF!</v>
      </c>
      <c r="G1" s="654"/>
      <c r="H1" s="654"/>
      <c r="I1" s="654"/>
      <c r="J1" s="654"/>
      <c r="K1" s="4"/>
    </row>
    <row r="2" spans="1:11" ht="15.75" customHeight="1" x14ac:dyDescent="0.2">
      <c r="A2" s="3"/>
      <c r="B2" s="3"/>
      <c r="C2" s="3"/>
      <c r="D2" s="3"/>
      <c r="E2" s="3"/>
      <c r="F2" s="652" t="s">
        <v>514</v>
      </c>
      <c r="G2" s="653"/>
      <c r="H2" s="653"/>
      <c r="I2" s="653"/>
      <c r="J2" s="653"/>
      <c r="K2" s="4"/>
    </row>
    <row r="3" spans="1:11" ht="15.75" customHeight="1" x14ac:dyDescent="0.2">
      <c r="A3" s="3"/>
      <c r="B3" s="3"/>
      <c r="C3" s="3"/>
      <c r="D3" s="3"/>
      <c r="E3" s="3"/>
      <c r="F3" s="652" t="e">
        <f>CONCATENATE("לשנה שנסתיימה ביום 31 בדצמבר ",#REF!, " (אלפי ש''ח) ")</f>
        <v>#REF!</v>
      </c>
      <c r="G3" s="656"/>
      <c r="H3" s="656"/>
      <c r="I3" s="656"/>
      <c r="J3" s="657"/>
      <c r="K3" s="4"/>
    </row>
    <row r="4" spans="1:11" ht="15.75" customHeight="1" x14ac:dyDescent="0.2">
      <c r="A4" s="5" t="s">
        <v>584</v>
      </c>
      <c r="B4" s="6"/>
      <c r="C4" s="6"/>
      <c r="D4" s="6"/>
      <c r="E4" s="6"/>
      <c r="F4" s="6"/>
      <c r="G4" s="6"/>
      <c r="H4" s="7"/>
      <c r="I4" s="7"/>
      <c r="J4" s="8"/>
      <c r="K4" s="4"/>
    </row>
    <row r="5" spans="1:11" ht="15.75" customHeight="1" x14ac:dyDescent="0.2">
      <c r="A5" s="655" t="e">
        <f>F1</f>
        <v>#REF!</v>
      </c>
      <c r="B5" s="655"/>
      <c r="C5" s="655"/>
      <c r="D5" s="655"/>
      <c r="E5" s="655"/>
      <c r="F5" s="655"/>
      <c r="G5" s="655"/>
      <c r="H5" s="655"/>
      <c r="I5" s="655"/>
      <c r="J5" s="9"/>
      <c r="K5" s="4"/>
    </row>
    <row r="6" spans="1:11" ht="15.75" customHeight="1" x14ac:dyDescent="0.2">
      <c r="A6" s="655" t="str">
        <f>F2</f>
        <v>באורים לדוחות הכספיים</v>
      </c>
      <c r="B6" s="655"/>
      <c r="C6" s="655"/>
      <c r="D6" s="655"/>
      <c r="E6" s="655"/>
      <c r="F6" s="655"/>
      <c r="G6" s="655"/>
      <c r="H6" s="655"/>
      <c r="I6" s="655"/>
      <c r="J6" s="9"/>
      <c r="K6" s="4"/>
    </row>
    <row r="7" spans="1:11" ht="15.75" customHeight="1" x14ac:dyDescent="0.2">
      <c r="A7" s="10"/>
      <c r="B7" s="655" t="e">
        <f>F3</f>
        <v>#REF!</v>
      </c>
      <c r="C7" s="655"/>
      <c r="D7" s="655"/>
      <c r="E7" s="655"/>
      <c r="F7" s="655"/>
      <c r="G7" s="655"/>
      <c r="H7" s="655"/>
      <c r="I7" s="655"/>
      <c r="J7" s="9"/>
      <c r="K7" s="4"/>
    </row>
    <row r="8" spans="1:11" ht="24" customHeight="1" x14ac:dyDescent="0.2">
      <c r="A8" s="37"/>
      <c r="B8" s="37" t="s">
        <v>515</v>
      </c>
      <c r="C8" s="12"/>
      <c r="D8" s="12"/>
      <c r="E8" s="12"/>
      <c r="F8" s="12"/>
      <c r="G8" s="12"/>
      <c r="H8" s="12"/>
      <c r="I8" s="12"/>
      <c r="J8" s="11"/>
      <c r="K8" s="4"/>
    </row>
    <row r="9" spans="1:11" x14ac:dyDescent="0.2">
      <c r="A9" s="11"/>
      <c r="B9" s="12" t="s">
        <v>585</v>
      </c>
      <c r="C9" s="12" t="s">
        <v>516</v>
      </c>
      <c r="D9" s="12"/>
      <c r="E9" s="12"/>
      <c r="F9" s="12"/>
      <c r="G9" s="12"/>
      <c r="H9" s="12"/>
      <c r="I9" s="12"/>
      <c r="J9" s="11"/>
      <c r="K9" s="4"/>
    </row>
    <row r="10" spans="1:11" x14ac:dyDescent="0.2">
      <c r="A10" s="11"/>
      <c r="B10" s="12"/>
      <c r="C10" s="12" t="s">
        <v>517</v>
      </c>
      <c r="D10" s="12"/>
      <c r="E10" s="12"/>
      <c r="F10" s="12"/>
      <c r="G10" s="12"/>
      <c r="H10" s="12"/>
      <c r="I10" s="12"/>
      <c r="J10" s="11"/>
      <c r="K10" s="4"/>
    </row>
    <row r="11" spans="1:11" ht="9.9499999999999993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1"/>
      <c r="K11" s="4"/>
    </row>
    <row r="12" spans="1:11" x14ac:dyDescent="0.2">
      <c r="A12" s="11"/>
      <c r="B12" s="12" t="s">
        <v>586</v>
      </c>
      <c r="C12" s="12" t="s">
        <v>518</v>
      </c>
      <c r="D12" s="12"/>
      <c r="E12" s="12"/>
      <c r="F12" s="12"/>
      <c r="G12" s="12"/>
      <c r="H12" s="12"/>
      <c r="I12" s="12"/>
      <c r="J12" s="11"/>
      <c r="K12" s="4"/>
    </row>
    <row r="13" spans="1:11" ht="9.9499999999999993" customHeight="1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1"/>
      <c r="K13" s="4"/>
    </row>
    <row r="14" spans="1:11" x14ac:dyDescent="0.2">
      <c r="A14" s="11"/>
      <c r="B14" s="12" t="s">
        <v>519</v>
      </c>
      <c r="C14" s="12" t="s">
        <v>520</v>
      </c>
      <c r="D14" s="12"/>
      <c r="E14" s="12"/>
      <c r="F14" s="12"/>
      <c r="G14" s="12"/>
      <c r="H14" s="12"/>
      <c r="I14" s="12"/>
      <c r="J14" s="11"/>
      <c r="K14" s="4"/>
    </row>
    <row r="15" spans="1:11" x14ac:dyDescent="0.2">
      <c r="A15" s="11"/>
      <c r="B15" s="12"/>
      <c r="C15" s="12" t="s">
        <v>521</v>
      </c>
      <c r="D15" s="12"/>
      <c r="E15" s="12"/>
      <c r="F15" s="12"/>
      <c r="G15" s="12"/>
      <c r="H15" s="12"/>
      <c r="I15" s="12"/>
      <c r="J15" s="11"/>
      <c r="K15" s="4"/>
    </row>
    <row r="16" spans="1:11" x14ac:dyDescent="0.2">
      <c r="A16" s="11"/>
      <c r="B16" s="12"/>
      <c r="C16" s="12" t="s">
        <v>522</v>
      </c>
      <c r="D16" s="12"/>
      <c r="E16" s="12"/>
      <c r="F16" s="12"/>
      <c r="G16" s="12"/>
      <c r="H16" s="12"/>
      <c r="I16" s="12"/>
      <c r="J16" s="11"/>
      <c r="K16" s="4"/>
    </row>
    <row r="17" spans="1:12" x14ac:dyDescent="0.2">
      <c r="A17" s="11"/>
      <c r="B17" s="12"/>
      <c r="C17" s="12" t="s">
        <v>523</v>
      </c>
      <c r="D17" s="12"/>
      <c r="E17" s="12"/>
      <c r="F17" s="12"/>
      <c r="G17" s="12"/>
      <c r="H17" s="12"/>
      <c r="I17" s="12"/>
      <c r="J17" s="11"/>
      <c r="K17" s="4"/>
    </row>
    <row r="18" spans="1:12" x14ac:dyDescent="0.2">
      <c r="A18" s="11"/>
      <c r="B18" s="12"/>
      <c r="C18" s="12" t="s">
        <v>524</v>
      </c>
      <c r="D18" s="12"/>
      <c r="E18" s="12"/>
      <c r="F18" s="12"/>
      <c r="G18" s="12"/>
      <c r="H18" s="12"/>
      <c r="I18" s="12"/>
      <c r="J18" s="11"/>
      <c r="K18" s="4"/>
    </row>
    <row r="19" spans="1:12" ht="9.9499999999999993" customHeight="1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1"/>
      <c r="K19" s="4"/>
    </row>
    <row r="20" spans="1:12" x14ac:dyDescent="0.2">
      <c r="A20" s="11"/>
      <c r="B20" s="12" t="s">
        <v>525</v>
      </c>
      <c r="C20" s="12" t="s">
        <v>526</v>
      </c>
      <c r="D20" s="12"/>
      <c r="E20" s="12"/>
      <c r="F20" s="12"/>
      <c r="G20" s="12"/>
      <c r="H20" s="12"/>
      <c r="I20" s="12"/>
      <c r="J20" s="11"/>
      <c r="K20" s="4"/>
    </row>
    <row r="21" spans="1:12" ht="9.9499999999999993" customHeight="1" x14ac:dyDescent="0.2">
      <c r="A21" s="11"/>
      <c r="B21" s="12"/>
      <c r="C21" s="12"/>
      <c r="D21" s="12"/>
      <c r="E21" s="11"/>
      <c r="F21" s="11"/>
      <c r="G21" s="11"/>
      <c r="H21" s="11"/>
      <c r="I21" s="11"/>
      <c r="J21" s="11"/>
      <c r="K21" s="4"/>
    </row>
    <row r="22" spans="1:12" x14ac:dyDescent="0.2">
      <c r="A22" s="11"/>
      <c r="B22" s="12"/>
      <c r="C22" s="12"/>
      <c r="D22" s="12"/>
      <c r="E22" s="11"/>
      <c r="F22" s="13"/>
      <c r="G22" s="14" t="e">
        <f>#REF!</f>
        <v>#REF!</v>
      </c>
      <c r="H22" s="15" t="e">
        <f>#REF!</f>
        <v>#REF!</v>
      </c>
      <c r="I22" s="16" t="e">
        <f>#REF!</f>
        <v>#REF!</v>
      </c>
      <c r="J22" s="11"/>
      <c r="K22" s="17"/>
      <c r="L22" s="18"/>
    </row>
    <row r="23" spans="1:12" ht="9.9499999999999993" customHeight="1" x14ac:dyDescent="0.2">
      <c r="A23" s="11"/>
      <c r="B23" s="22"/>
      <c r="C23" s="22"/>
      <c r="D23" s="22"/>
      <c r="E23" s="19"/>
      <c r="F23" s="19"/>
      <c r="G23" s="20"/>
      <c r="H23" s="19"/>
      <c r="I23" s="21"/>
      <c r="J23" s="11"/>
      <c r="K23" s="4"/>
    </row>
    <row r="24" spans="1:12" x14ac:dyDescent="0.2">
      <c r="A24" s="11"/>
      <c r="B24" s="22"/>
      <c r="C24" s="22" t="s">
        <v>527</v>
      </c>
      <c r="D24" s="22"/>
      <c r="E24" s="19"/>
      <c r="F24" s="19"/>
      <c r="G24" s="23" t="e">
        <f>#REF!</f>
        <v>#REF!</v>
      </c>
      <c r="H24" s="19" t="e">
        <f>#REF!</f>
        <v>#REF!</v>
      </c>
      <c r="I24" s="21" t="e">
        <f>#REF!</f>
        <v>#REF!</v>
      </c>
      <c r="J24" s="19"/>
      <c r="K24" s="24"/>
      <c r="L24" s="25"/>
    </row>
    <row r="25" spans="1:12" x14ac:dyDescent="0.2">
      <c r="A25" s="11"/>
      <c r="B25" s="22"/>
      <c r="C25" s="22" t="s">
        <v>528</v>
      </c>
      <c r="D25" s="22"/>
      <c r="E25" s="19"/>
      <c r="F25" s="19"/>
      <c r="G25" s="23" t="e">
        <f>#REF!</f>
        <v>#REF!</v>
      </c>
      <c r="H25" s="19" t="e">
        <f>#REF!</f>
        <v>#REF!</v>
      </c>
      <c r="I25" s="21" t="e">
        <f>#REF!</f>
        <v>#REF!</v>
      </c>
      <c r="J25" s="19"/>
      <c r="K25" s="26"/>
    </row>
    <row r="26" spans="1:12" x14ac:dyDescent="0.2">
      <c r="A26" s="11"/>
      <c r="B26" s="22"/>
      <c r="C26" s="22" t="s">
        <v>529</v>
      </c>
      <c r="D26" s="22"/>
      <c r="E26" s="19"/>
      <c r="F26" s="19"/>
      <c r="G26" s="27" t="e">
        <f>#REF!</f>
        <v>#REF!</v>
      </c>
      <c r="H26" s="28" t="e">
        <f>#REF!</f>
        <v>#REF!</v>
      </c>
      <c r="I26" s="29" t="e">
        <f>#REF!</f>
        <v>#REF!</v>
      </c>
      <c r="J26" s="30"/>
      <c r="K26" s="24"/>
      <c r="L26" s="25"/>
    </row>
    <row r="27" spans="1:12" x14ac:dyDescent="0.2">
      <c r="A27" s="11"/>
      <c r="B27" s="22"/>
      <c r="C27" s="22" t="s">
        <v>530</v>
      </c>
      <c r="D27" s="22"/>
      <c r="E27" s="19"/>
      <c r="F27" s="19"/>
      <c r="G27" s="31" t="e">
        <f>#REF!</f>
        <v>#REF!</v>
      </c>
      <c r="H27" s="32" t="e">
        <f>#REF!</f>
        <v>#REF!</v>
      </c>
      <c r="I27" s="33" t="e">
        <f>#REF!</f>
        <v>#REF!</v>
      </c>
      <c r="J27" s="30"/>
      <c r="K27" s="26"/>
    </row>
    <row r="28" spans="1:12" ht="11.25" customHeight="1" x14ac:dyDescent="0.2">
      <c r="A28" s="11"/>
      <c r="B28" s="12"/>
      <c r="C28" s="12"/>
      <c r="D28" s="12"/>
      <c r="E28" s="11"/>
      <c r="F28" s="11"/>
      <c r="G28" s="34"/>
      <c r="H28" s="34"/>
      <c r="I28" s="34"/>
      <c r="J28" s="35"/>
      <c r="K28" s="26"/>
    </row>
    <row r="29" spans="1:12" ht="22.5" customHeight="1" x14ac:dyDescent="0.2">
      <c r="A29" s="11"/>
      <c r="B29" s="12" t="s">
        <v>531</v>
      </c>
      <c r="C29" s="12" t="s">
        <v>582</v>
      </c>
      <c r="D29" s="12"/>
      <c r="E29" s="12"/>
      <c r="F29" s="12"/>
      <c r="G29" s="40"/>
      <c r="H29" s="40"/>
      <c r="I29" s="40"/>
      <c r="J29" s="35"/>
      <c r="K29" s="26"/>
    </row>
    <row r="30" spans="1:12" x14ac:dyDescent="0.2">
      <c r="A30" s="11"/>
      <c r="B30" s="12"/>
      <c r="C30" s="12"/>
      <c r="D30" s="12"/>
      <c r="E30" s="12"/>
      <c r="F30" s="12"/>
      <c r="G30" s="40"/>
      <c r="H30" s="40"/>
      <c r="I30" s="40"/>
      <c r="J30" s="35"/>
      <c r="K30" s="26"/>
    </row>
    <row r="31" spans="1:12" x14ac:dyDescent="0.2">
      <c r="A31" s="11"/>
      <c r="B31" s="12" t="s">
        <v>532</v>
      </c>
      <c r="C31" s="12" t="s">
        <v>533</v>
      </c>
      <c r="D31" s="12"/>
      <c r="E31" s="12"/>
      <c r="F31" s="12"/>
      <c r="G31" s="12"/>
      <c r="H31" s="12"/>
      <c r="I31" s="12"/>
      <c r="J31" s="11"/>
      <c r="K31" s="4"/>
    </row>
    <row r="32" spans="1:12" x14ac:dyDescent="0.2">
      <c r="A32" s="11"/>
      <c r="B32" s="12"/>
      <c r="C32" s="12" t="s">
        <v>534</v>
      </c>
      <c r="D32" s="12"/>
      <c r="E32" s="12"/>
      <c r="F32" s="12"/>
      <c r="G32" s="12"/>
      <c r="H32" s="12"/>
      <c r="I32" s="12"/>
      <c r="J32" s="11"/>
      <c r="K32" s="4"/>
    </row>
    <row r="33" spans="1:11" x14ac:dyDescent="0.2">
      <c r="A33" s="11"/>
      <c r="B33" s="12"/>
      <c r="C33" s="12" t="s">
        <v>535</v>
      </c>
      <c r="D33" s="12"/>
      <c r="E33" s="12"/>
      <c r="F33" s="12"/>
      <c r="G33" s="12"/>
      <c r="H33" s="12"/>
      <c r="I33" s="12"/>
      <c r="J33" s="11"/>
      <c r="K33" s="4"/>
    </row>
    <row r="34" spans="1:11" x14ac:dyDescent="0.2">
      <c r="A34" s="11"/>
      <c r="B34" s="12"/>
      <c r="C34" s="12" t="s">
        <v>583</v>
      </c>
      <c r="D34" s="12"/>
      <c r="E34" s="12"/>
      <c r="F34" s="12"/>
      <c r="G34" s="12"/>
      <c r="H34" s="12"/>
      <c r="I34" s="12"/>
      <c r="J34" s="11"/>
      <c r="K34" s="4"/>
    </row>
    <row r="35" spans="1:11" x14ac:dyDescent="0.2">
      <c r="A35" s="11"/>
      <c r="B35" s="12"/>
      <c r="C35" s="12"/>
      <c r="D35" s="12"/>
      <c r="E35" s="12"/>
      <c r="F35" s="12"/>
      <c r="G35" s="12"/>
      <c r="H35" s="12"/>
      <c r="I35" s="12"/>
      <c r="J35" s="11"/>
      <c r="K35" s="4"/>
    </row>
    <row r="36" spans="1:11" x14ac:dyDescent="0.2">
      <c r="A36" s="37"/>
      <c r="B36" s="37" t="s">
        <v>536</v>
      </c>
      <c r="C36" s="12"/>
      <c r="D36" s="12"/>
      <c r="E36" s="12"/>
      <c r="F36" s="12"/>
      <c r="G36" s="12"/>
      <c r="H36" s="12"/>
      <c r="I36" s="12"/>
      <c r="J36" s="11"/>
      <c r="K36" s="4"/>
    </row>
    <row r="37" spans="1:11" ht="9.9499999999999993" customHeight="1" x14ac:dyDescent="0.2">
      <c r="A37" s="11"/>
      <c r="B37" s="12"/>
      <c r="C37" s="12"/>
      <c r="D37" s="12"/>
      <c r="E37" s="12"/>
      <c r="F37" s="12"/>
      <c r="G37" s="12"/>
      <c r="H37" s="12"/>
      <c r="I37" s="12"/>
      <c r="J37" s="11"/>
      <c r="K37" s="4"/>
    </row>
    <row r="38" spans="1:11" ht="15.75" customHeight="1" x14ac:dyDescent="0.2">
      <c r="A38" s="11"/>
      <c r="B38" s="12"/>
      <c r="C38" s="12" t="s">
        <v>537</v>
      </c>
      <c r="D38" s="12"/>
      <c r="E38" s="12"/>
      <c r="F38" s="12"/>
      <c r="G38" s="12"/>
      <c r="H38" s="12"/>
      <c r="I38" s="12"/>
      <c r="J38" s="11"/>
      <c r="K38" s="4"/>
    </row>
    <row r="39" spans="1:11" ht="15.75" customHeight="1" x14ac:dyDescent="0.2">
      <c r="A39" s="11"/>
      <c r="B39" s="12"/>
      <c r="C39" s="12" t="s">
        <v>538</v>
      </c>
      <c r="D39" s="12"/>
      <c r="E39" s="12"/>
      <c r="F39" s="12"/>
      <c r="G39" s="12"/>
      <c r="H39" s="12"/>
      <c r="I39" s="12"/>
      <c r="J39" s="11"/>
      <c r="K39" s="4"/>
    </row>
    <row r="40" spans="1:11" x14ac:dyDescent="0.2">
      <c r="A40" s="11"/>
      <c r="B40" s="12"/>
      <c r="C40" s="12" t="s">
        <v>539</v>
      </c>
      <c r="D40" s="12"/>
      <c r="E40" s="12"/>
      <c r="F40" s="12"/>
      <c r="G40" s="12"/>
      <c r="H40" s="12"/>
      <c r="I40" s="12"/>
      <c r="J40" s="11"/>
      <c r="K40" s="4"/>
    </row>
    <row r="41" spans="1:11" ht="9.9499999999999993" customHeight="1" x14ac:dyDescent="0.2">
      <c r="A41" s="11"/>
      <c r="B41" s="12"/>
      <c r="C41" s="12"/>
      <c r="D41" s="12"/>
      <c r="E41" s="12"/>
      <c r="F41" s="12"/>
      <c r="G41" s="12"/>
      <c r="H41" s="12"/>
      <c r="I41" s="12"/>
      <c r="J41" s="11"/>
      <c r="K41" s="4"/>
    </row>
    <row r="42" spans="1:11" x14ac:dyDescent="0.2">
      <c r="A42" s="11"/>
      <c r="B42" s="38" t="s">
        <v>585</v>
      </c>
      <c r="C42" s="37" t="s">
        <v>540</v>
      </c>
      <c r="D42" s="12"/>
      <c r="E42" s="12"/>
      <c r="F42" s="12"/>
      <c r="G42" s="12"/>
      <c r="H42" s="12"/>
      <c r="I42" s="12"/>
      <c r="J42" s="11"/>
      <c r="K42" s="4"/>
    </row>
    <row r="43" spans="1:11" ht="9.9499999999999993" customHeight="1" x14ac:dyDescent="0.2">
      <c r="A43" s="11"/>
      <c r="B43" s="12"/>
      <c r="C43" s="12"/>
      <c r="D43" s="12"/>
      <c r="E43" s="12"/>
      <c r="F43" s="12"/>
      <c r="G43" s="12"/>
      <c r="H43" s="12"/>
      <c r="I43" s="12"/>
      <c r="J43" s="11"/>
      <c r="K43" s="4"/>
    </row>
    <row r="44" spans="1:11" x14ac:dyDescent="0.2">
      <c r="A44" s="11"/>
      <c r="B44" s="12"/>
      <c r="C44" s="12" t="s">
        <v>541</v>
      </c>
      <c r="D44" s="12"/>
      <c r="E44" s="12"/>
      <c r="F44" s="12"/>
      <c r="G44" s="12"/>
      <c r="H44" s="12"/>
      <c r="I44" s="12"/>
      <c r="J44" s="11"/>
      <c r="K44" s="4"/>
    </row>
    <row r="45" spans="1:11" x14ac:dyDescent="0.2">
      <c r="A45" s="11"/>
      <c r="B45" s="12"/>
      <c r="C45" s="651" t="s">
        <v>542</v>
      </c>
      <c r="D45" s="651"/>
      <c r="E45" s="651"/>
      <c r="F45" s="651"/>
      <c r="G45" s="651"/>
      <c r="H45" s="651"/>
      <c r="I45" s="651"/>
      <c r="J45" s="11"/>
      <c r="K45" s="4"/>
    </row>
    <row r="46" spans="1:11" ht="9.9499999999999993" customHeight="1" x14ac:dyDescent="0.2">
      <c r="A46" s="11"/>
      <c r="B46" s="12"/>
      <c r="C46" s="12"/>
      <c r="D46" s="12"/>
      <c r="E46" s="12"/>
      <c r="F46" s="12"/>
      <c r="G46" s="12"/>
      <c r="H46" s="12"/>
      <c r="I46" s="12"/>
      <c r="J46" s="11"/>
      <c r="K46" s="4"/>
    </row>
    <row r="47" spans="1:11" x14ac:dyDescent="0.2">
      <c r="A47" s="11"/>
      <c r="B47" s="38" t="s">
        <v>586</v>
      </c>
      <c r="C47" s="37" t="s">
        <v>543</v>
      </c>
      <c r="D47" s="12"/>
      <c r="E47" s="12"/>
      <c r="F47" s="12"/>
      <c r="G47" s="12"/>
      <c r="H47" s="12"/>
      <c r="I47" s="12"/>
      <c r="J47" s="11"/>
      <c r="K47" s="4"/>
    </row>
    <row r="48" spans="1:11" ht="9.9499999999999993" customHeight="1" x14ac:dyDescent="0.2">
      <c r="A48" s="11"/>
      <c r="B48" s="12"/>
      <c r="C48" s="12"/>
      <c r="D48" s="12"/>
      <c r="E48" s="12"/>
      <c r="F48" s="12"/>
      <c r="G48" s="12"/>
      <c r="H48" s="12"/>
      <c r="I48" s="12"/>
      <c r="J48" s="11"/>
      <c r="K48" s="4"/>
    </row>
    <row r="49" spans="1:11" x14ac:dyDescent="0.2">
      <c r="A49" s="11"/>
      <c r="B49" s="39" t="s">
        <v>544</v>
      </c>
      <c r="C49" s="12" t="s">
        <v>545</v>
      </c>
      <c r="D49" s="12"/>
      <c r="E49" s="12"/>
      <c r="F49" s="12"/>
      <c r="G49" s="12"/>
      <c r="H49" s="12"/>
      <c r="I49" s="12"/>
      <c r="J49" s="11"/>
      <c r="K49" s="4"/>
    </row>
    <row r="50" spans="1:11" ht="9.9499999999999993" customHeight="1" x14ac:dyDescent="0.2">
      <c r="A50" s="11"/>
      <c r="B50" s="39"/>
      <c r="C50" s="12"/>
      <c r="D50" s="12"/>
      <c r="E50" s="12"/>
      <c r="F50" s="12"/>
      <c r="G50" s="12"/>
      <c r="H50" s="12"/>
      <c r="I50" s="12"/>
      <c r="J50" s="11"/>
      <c r="K50" s="4"/>
    </row>
    <row r="51" spans="1:11" x14ac:dyDescent="0.2">
      <c r="A51" s="11"/>
      <c r="B51" s="39" t="s">
        <v>546</v>
      </c>
      <c r="C51" s="12" t="s">
        <v>547</v>
      </c>
      <c r="D51" s="12"/>
      <c r="E51" s="12"/>
      <c r="F51" s="12"/>
      <c r="G51" s="12"/>
      <c r="H51" s="12"/>
      <c r="I51" s="12"/>
      <c r="J51" s="11"/>
      <c r="K51" s="4"/>
    </row>
    <row r="52" spans="1:11" x14ac:dyDescent="0.2">
      <c r="A52" s="11"/>
      <c r="B52" s="39"/>
      <c r="C52" s="12" t="s">
        <v>548</v>
      </c>
      <c r="D52" s="12"/>
      <c r="E52" s="12"/>
      <c r="F52" s="12"/>
      <c r="G52" s="12"/>
      <c r="H52" s="12"/>
      <c r="I52" s="12"/>
      <c r="J52" s="11"/>
      <c r="K52" s="4"/>
    </row>
    <row r="53" spans="1:11" x14ac:dyDescent="0.2">
      <c r="A53" s="11"/>
      <c r="B53" s="39"/>
      <c r="C53" s="12" t="s">
        <v>549</v>
      </c>
      <c r="D53" s="12"/>
      <c r="E53" s="12"/>
      <c r="F53" s="12"/>
      <c r="G53" s="12"/>
      <c r="H53" s="12"/>
      <c r="I53" s="12"/>
      <c r="J53" s="11"/>
      <c r="K53" s="4"/>
    </row>
    <row r="54" spans="1:11" ht="9.9499999999999993" customHeight="1" x14ac:dyDescent="0.2">
      <c r="A54" s="11"/>
      <c r="B54" s="39"/>
      <c r="C54" s="12"/>
      <c r="D54" s="12"/>
      <c r="E54" s="12"/>
      <c r="F54" s="12"/>
      <c r="G54" s="12"/>
      <c r="H54" s="12"/>
      <c r="I54" s="12"/>
      <c r="J54" s="11"/>
      <c r="K54" s="4"/>
    </row>
    <row r="55" spans="1:11" x14ac:dyDescent="0.2">
      <c r="A55" s="11"/>
      <c r="B55" s="39" t="s">
        <v>550</v>
      </c>
      <c r="C55" s="12" t="s">
        <v>551</v>
      </c>
      <c r="D55" s="12"/>
      <c r="E55" s="12"/>
      <c r="F55" s="12"/>
      <c r="G55" s="12"/>
      <c r="H55" s="12"/>
      <c r="I55" s="12"/>
      <c r="J55" s="11"/>
      <c r="K55" s="4"/>
    </row>
    <row r="56" spans="1:11" x14ac:dyDescent="0.2">
      <c r="A56" s="11"/>
      <c r="B56" s="39"/>
      <c r="C56" s="12" t="s">
        <v>552</v>
      </c>
      <c r="D56" s="12"/>
      <c r="E56" s="12"/>
      <c r="F56" s="12"/>
      <c r="G56" s="12"/>
      <c r="H56" s="12"/>
      <c r="I56" s="12"/>
      <c r="J56" s="11"/>
      <c r="K56" s="4"/>
    </row>
    <row r="57" spans="1:11" ht="9.9499999999999993" customHeight="1" x14ac:dyDescent="0.2">
      <c r="A57" s="11"/>
      <c r="B57" s="39"/>
      <c r="C57" s="12"/>
      <c r="D57" s="12"/>
      <c r="E57" s="12"/>
      <c r="F57" s="12"/>
      <c r="G57" s="12"/>
      <c r="H57" s="12"/>
      <c r="I57" s="12"/>
      <c r="J57" s="11"/>
      <c r="K57" s="4"/>
    </row>
    <row r="58" spans="1:11" x14ac:dyDescent="0.2">
      <c r="A58" s="11"/>
      <c r="B58" s="39" t="s">
        <v>553</v>
      </c>
      <c r="C58" s="12" t="s">
        <v>558</v>
      </c>
      <c r="D58" s="12"/>
      <c r="E58" s="12"/>
      <c r="F58" s="12"/>
      <c r="G58" s="12"/>
      <c r="H58" s="12"/>
      <c r="I58" s="12"/>
      <c r="J58" s="11"/>
      <c r="K58" s="4"/>
    </row>
    <row r="59" spans="1:11" x14ac:dyDescent="0.2">
      <c r="A59" s="11"/>
      <c r="B59" s="39"/>
      <c r="C59" s="12" t="s">
        <v>559</v>
      </c>
      <c r="D59" s="12"/>
      <c r="E59" s="12"/>
      <c r="F59" s="12"/>
      <c r="G59" s="12"/>
      <c r="H59" s="12"/>
      <c r="I59" s="12"/>
      <c r="J59" s="11"/>
      <c r="K59" s="4"/>
    </row>
    <row r="60" spans="1:11" ht="9.9499999999999993" customHeight="1" x14ac:dyDescent="0.2">
      <c r="A60" s="11"/>
      <c r="B60" s="39"/>
      <c r="C60" s="12"/>
      <c r="D60" s="12"/>
      <c r="E60" s="12"/>
      <c r="F60" s="12"/>
      <c r="G60" s="12"/>
      <c r="H60" s="12"/>
      <c r="I60" s="12"/>
      <c r="J60" s="11"/>
      <c r="K60" s="4"/>
    </row>
    <row r="61" spans="1:11" x14ac:dyDescent="0.2">
      <c r="A61" s="11"/>
      <c r="B61" s="39" t="s">
        <v>560</v>
      </c>
      <c r="C61" s="12" t="s">
        <v>561</v>
      </c>
      <c r="D61" s="12"/>
      <c r="E61" s="12"/>
      <c r="F61" s="12"/>
      <c r="G61" s="12"/>
      <c r="H61" s="12"/>
      <c r="I61" s="12"/>
      <c r="J61" s="11"/>
      <c r="K61" s="4"/>
    </row>
    <row r="62" spans="1:11" x14ac:dyDescent="0.2">
      <c r="A62" s="11"/>
      <c r="B62" s="39"/>
      <c r="C62" s="12"/>
      <c r="D62" s="12"/>
      <c r="E62" s="12"/>
      <c r="F62" s="12"/>
      <c r="G62" s="12"/>
      <c r="H62" s="12"/>
      <c r="I62" s="12"/>
      <c r="J62" s="11"/>
      <c r="K62" s="4"/>
    </row>
    <row r="63" spans="1:11" x14ac:dyDescent="0.2">
      <c r="A63" s="11"/>
      <c r="B63" s="39" t="s">
        <v>562</v>
      </c>
      <c r="C63" s="12" t="s">
        <v>571</v>
      </c>
      <c r="D63" s="12"/>
      <c r="E63" s="12"/>
      <c r="F63" s="12"/>
      <c r="G63" s="12"/>
      <c r="H63" s="12"/>
      <c r="I63" s="12"/>
      <c r="J63" s="11"/>
      <c r="K63" s="4"/>
    </row>
    <row r="64" spans="1:11" x14ac:dyDescent="0.2">
      <c r="A64" s="11"/>
      <c r="B64" s="39"/>
      <c r="C64" s="12"/>
      <c r="D64" s="12"/>
      <c r="E64" s="12"/>
      <c r="F64" s="12"/>
      <c r="G64" s="12"/>
      <c r="H64" s="12"/>
      <c r="I64" s="12"/>
      <c r="J64" s="11"/>
      <c r="K64" s="4"/>
    </row>
    <row r="65" spans="1:11" x14ac:dyDescent="0.2">
      <c r="A65" s="11"/>
      <c r="B65" s="39" t="s">
        <v>572</v>
      </c>
      <c r="C65" s="12" t="s">
        <v>573</v>
      </c>
      <c r="D65" s="12"/>
      <c r="E65" s="12"/>
      <c r="F65" s="12"/>
      <c r="G65" s="12"/>
      <c r="H65" s="12"/>
      <c r="I65" s="12"/>
      <c r="J65" s="11"/>
      <c r="K65" s="4"/>
    </row>
    <row r="66" spans="1:11" ht="12.95" customHeight="1" x14ac:dyDescent="0.2">
      <c r="A66" s="11"/>
      <c r="B66" s="12"/>
      <c r="C66" s="12"/>
      <c r="D66" s="12"/>
      <c r="E66" s="12"/>
      <c r="F66" s="12"/>
      <c r="G66" s="12"/>
      <c r="H66" s="12"/>
      <c r="I66" s="12"/>
      <c r="J66" s="11"/>
      <c r="K66" s="4"/>
    </row>
    <row r="67" spans="1:11" ht="12.95" customHeight="1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1"/>
      <c r="K67" s="4"/>
    </row>
    <row r="68" spans="1:11" ht="12.95" customHeight="1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1"/>
      <c r="K68" s="4"/>
    </row>
    <row r="69" spans="1:11" ht="12.95" customHeight="1" x14ac:dyDescent="0.2">
      <c r="A69" s="11"/>
      <c r="B69" s="12"/>
      <c r="C69" s="12"/>
      <c r="D69" s="12"/>
      <c r="E69" s="12"/>
      <c r="F69" s="12"/>
      <c r="G69" s="12"/>
      <c r="H69" s="12"/>
      <c r="I69" s="12"/>
      <c r="J69" s="11"/>
      <c r="K69" s="4"/>
    </row>
    <row r="70" spans="1:11" ht="12.95" customHeight="1" x14ac:dyDescent="0.2">
      <c r="A70" s="11"/>
      <c r="B70" s="12"/>
      <c r="C70" s="12"/>
      <c r="D70" s="12"/>
      <c r="E70" s="12"/>
      <c r="F70" s="12"/>
      <c r="G70" s="12"/>
      <c r="H70" s="12"/>
      <c r="I70" s="12"/>
      <c r="J70" s="11"/>
      <c r="K70" s="4"/>
    </row>
    <row r="71" spans="1:11" ht="12.95" customHeight="1" x14ac:dyDescent="0.2">
      <c r="A71" s="11"/>
      <c r="B71" s="12"/>
      <c r="C71" s="12"/>
      <c r="D71" s="12"/>
      <c r="E71" s="12"/>
      <c r="F71" s="12"/>
      <c r="G71" s="12"/>
      <c r="H71" s="12"/>
      <c r="I71" s="12"/>
      <c r="J71" s="11"/>
      <c r="K71" s="4"/>
    </row>
    <row r="72" spans="1:11" ht="13.5" thickBot="1" x14ac:dyDescent="0.25">
      <c r="A72" s="11"/>
      <c r="B72" s="12"/>
      <c r="C72" s="12"/>
      <c r="D72" s="12"/>
      <c r="E72" s="11"/>
      <c r="F72" s="11"/>
      <c r="G72" s="11"/>
      <c r="H72" s="11"/>
      <c r="I72" s="11"/>
      <c r="J72" s="11"/>
      <c r="K72" s="4"/>
    </row>
    <row r="73" spans="1:11" ht="13.5" thickTop="1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</row>
  </sheetData>
  <mergeCells count="7">
    <mergeCell ref="C45:I45"/>
    <mergeCell ref="F2:J2"/>
    <mergeCell ref="F1:J1"/>
    <mergeCell ref="B7:I7"/>
    <mergeCell ref="A5:I5"/>
    <mergeCell ref="A6:I6"/>
    <mergeCell ref="F3:J3"/>
  </mergeCells>
  <phoneticPr fontId="58" type="noConversion"/>
  <hyperlinks>
    <hyperlink ref="A4" location="'תוכן הענינים'!A1" tooltip="לחץ להצגת גליון תוכן הענינים" display="הצג תוכן ענינים"/>
  </hyperlinks>
  <printOptions horizontalCentered="1"/>
  <pageMargins left="0" right="0" top="0.53" bottom="0.7" header="0.31" footer="0.511811023622047"/>
  <pageSetup paperSize="9" scale="89" orientation="portrait" blackAndWhite="1" horizontalDpi="300" verticalDpi="300" r:id="rId1"/>
  <headerFooter alignWithMargins="0">
    <oddHeader>&amp;L&amp;8&amp;A</oddHeader>
    <oddFooter>&amp;L &amp;C&amp;8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I24"/>
  <sheetViews>
    <sheetView showRowColHeaders="0" rightToLeft="1" workbookViewId="0">
      <selection activeCell="C13" sqref="C13"/>
    </sheetView>
  </sheetViews>
  <sheetFormatPr defaultColWidth="9.140625" defaultRowHeight="12.75" x14ac:dyDescent="0.2"/>
  <cols>
    <col min="1" max="4" width="9.140625" style="107"/>
    <col min="5" max="5" width="16.42578125" style="107" customWidth="1"/>
    <col min="6" max="6" width="3" style="107" customWidth="1"/>
    <col min="7" max="16384" width="9.140625" style="107"/>
  </cols>
  <sheetData>
    <row r="1" spans="1:9" ht="17.25" customHeight="1" thickTop="1" thickBot="1" x14ac:dyDescent="0.25">
      <c r="A1" s="106"/>
      <c r="B1" s="106"/>
      <c r="C1" s="106"/>
      <c r="D1" s="106"/>
      <c r="E1" s="106"/>
      <c r="F1" s="106"/>
      <c r="G1" s="106"/>
      <c r="H1" s="106"/>
      <c r="I1" s="106"/>
    </row>
    <row r="2" spans="1:9" ht="17.25" customHeight="1" thickTop="1" thickBot="1" x14ac:dyDescent="0.25">
      <c r="A2" s="106"/>
      <c r="B2" s="106"/>
      <c r="C2" s="106"/>
      <c r="D2" s="106"/>
      <c r="E2" s="106"/>
      <c r="F2" s="106"/>
      <c r="G2" s="106"/>
      <c r="H2" s="106"/>
      <c r="I2" s="106"/>
    </row>
    <row r="3" spans="1:9" ht="17.25" customHeight="1" thickTop="1" thickBot="1" x14ac:dyDescent="0.25">
      <c r="A3" s="106"/>
      <c r="B3" s="106"/>
      <c r="C3" s="106"/>
      <c r="D3" s="106"/>
      <c r="E3" s="106"/>
      <c r="F3" s="106"/>
      <c r="G3" s="106"/>
      <c r="H3" s="106"/>
      <c r="I3" s="106"/>
    </row>
    <row r="4" spans="1:9" ht="17.25" customHeight="1" thickTop="1" x14ac:dyDescent="0.2">
      <c r="A4" s="111"/>
      <c r="B4" s="111"/>
      <c r="C4" s="111"/>
      <c r="D4" s="111"/>
      <c r="E4" s="111"/>
      <c r="F4" s="111"/>
      <c r="G4" s="111"/>
      <c r="H4" s="111"/>
      <c r="I4" s="112"/>
    </row>
    <row r="5" spans="1:9" x14ac:dyDescent="0.2">
      <c r="A5" s="111">
        <v>0</v>
      </c>
      <c r="B5" s="111"/>
      <c r="C5" s="111"/>
      <c r="D5" s="111"/>
      <c r="E5" s="111"/>
      <c r="F5" s="111"/>
      <c r="G5" s="111"/>
      <c r="H5" s="111"/>
      <c r="I5" s="112"/>
    </row>
    <row r="6" spans="1:9" ht="13.5" customHeight="1" x14ac:dyDescent="0.2">
      <c r="A6" s="111"/>
      <c r="B6" s="593" t="s">
        <v>506</v>
      </c>
      <c r="C6" s="594"/>
      <c r="D6" s="594"/>
      <c r="E6" s="594"/>
      <c r="F6" s="594"/>
      <c r="G6" s="594"/>
      <c r="H6" s="595"/>
      <c r="I6" s="112"/>
    </row>
    <row r="7" spans="1:9" ht="10.5" customHeight="1" x14ac:dyDescent="0.2">
      <c r="A7" s="111"/>
      <c r="B7" s="596"/>
      <c r="C7" s="596"/>
      <c r="D7" s="596"/>
      <c r="E7" s="596"/>
      <c r="F7" s="596"/>
      <c r="G7" s="596"/>
      <c r="H7" s="597"/>
      <c r="I7" s="112"/>
    </row>
    <row r="8" spans="1:9" x14ac:dyDescent="0.2">
      <c r="A8" s="111"/>
      <c r="B8" s="418"/>
      <c r="C8" s="419"/>
      <c r="D8" s="419"/>
      <c r="E8" s="419"/>
      <c r="F8" s="420"/>
      <c r="G8" s="421"/>
      <c r="H8" s="422"/>
      <c r="I8" s="112"/>
    </row>
    <row r="9" spans="1:9" x14ac:dyDescent="0.2">
      <c r="A9" s="111"/>
      <c r="B9" s="423"/>
      <c r="C9" s="424" t="s">
        <v>736</v>
      </c>
      <c r="D9" s="425"/>
      <c r="E9" s="424" t="s">
        <v>507</v>
      </c>
      <c r="F9" s="426"/>
      <c r="G9" s="424" t="s">
        <v>508</v>
      </c>
      <c r="H9" s="422"/>
      <c r="I9" s="112"/>
    </row>
    <row r="10" spans="1:9" ht="6.95" customHeight="1" x14ac:dyDescent="0.2">
      <c r="A10" s="111"/>
      <c r="B10" s="423"/>
      <c r="C10" s="425"/>
      <c r="D10" s="425"/>
      <c r="E10" s="425"/>
      <c r="F10" s="426"/>
      <c r="G10" s="427"/>
      <c r="H10" s="422"/>
      <c r="I10" s="112"/>
    </row>
    <row r="11" spans="1:9" x14ac:dyDescent="0.2">
      <c r="A11" s="111"/>
      <c r="B11" s="423"/>
      <c r="C11" s="424" t="s">
        <v>909</v>
      </c>
      <c r="D11" s="425"/>
      <c r="E11" s="424" t="s">
        <v>965</v>
      </c>
      <c r="F11" s="426"/>
      <c r="G11" s="424" t="s">
        <v>575</v>
      </c>
      <c r="H11" s="422"/>
      <c r="I11" s="112"/>
    </row>
    <row r="12" spans="1:9" ht="6.95" customHeight="1" x14ac:dyDescent="0.2">
      <c r="A12" s="111"/>
      <c r="B12" s="423"/>
      <c r="C12" s="425"/>
      <c r="D12" s="425"/>
      <c r="E12" s="425"/>
      <c r="F12" s="426"/>
      <c r="G12" s="427"/>
      <c r="H12" s="422"/>
      <c r="I12" s="112"/>
    </row>
    <row r="13" spans="1:9" x14ac:dyDescent="0.2">
      <c r="A13" s="111"/>
      <c r="B13" s="423"/>
      <c r="C13" s="424" t="s">
        <v>919</v>
      </c>
      <c r="D13" s="425"/>
      <c r="E13" s="424" t="s">
        <v>123</v>
      </c>
      <c r="F13" s="426"/>
      <c r="G13" s="427"/>
      <c r="H13" s="422"/>
      <c r="I13" s="112"/>
    </row>
    <row r="14" spans="1:9" ht="6.95" customHeight="1" x14ac:dyDescent="0.2">
      <c r="A14" s="111"/>
      <c r="B14" s="423"/>
      <c r="C14" s="425"/>
      <c r="D14" s="425"/>
      <c r="E14" s="425"/>
      <c r="F14" s="425"/>
      <c r="G14" s="427"/>
      <c r="H14" s="422"/>
      <c r="I14" s="112"/>
    </row>
    <row r="15" spans="1:9" x14ac:dyDescent="0.2">
      <c r="A15" s="111"/>
      <c r="B15" s="423"/>
      <c r="C15" s="424" t="s">
        <v>932</v>
      </c>
      <c r="D15" s="425"/>
      <c r="E15" s="424" t="s">
        <v>509</v>
      </c>
      <c r="F15" s="426"/>
      <c r="G15" s="427"/>
      <c r="H15" s="422"/>
      <c r="I15" s="112"/>
    </row>
    <row r="16" spans="1:9" ht="6.95" customHeight="1" x14ac:dyDescent="0.2">
      <c r="A16" s="111"/>
      <c r="B16" s="423"/>
      <c r="C16" s="425"/>
      <c r="D16" s="425"/>
      <c r="E16" s="425"/>
      <c r="F16" s="425"/>
      <c r="G16" s="427"/>
      <c r="H16" s="422"/>
      <c r="I16" s="112"/>
    </row>
    <row r="17" spans="1:9" hidden="1" x14ac:dyDescent="0.2">
      <c r="A17" s="111"/>
      <c r="B17" s="423"/>
      <c r="C17" s="424" t="s">
        <v>741</v>
      </c>
      <c r="D17" s="425"/>
      <c r="E17" s="424">
        <v>1.01</v>
      </c>
      <c r="F17" s="426"/>
      <c r="G17" s="427" t="s">
        <v>742</v>
      </c>
      <c r="H17" s="422"/>
      <c r="I17" s="112"/>
    </row>
    <row r="18" spans="1:9" ht="8.25" hidden="1" customHeight="1" x14ac:dyDescent="0.2">
      <c r="A18" s="111"/>
      <c r="B18" s="423"/>
      <c r="C18" s="424"/>
      <c r="D18" s="425"/>
      <c r="E18" s="424"/>
      <c r="F18" s="426"/>
      <c r="G18" s="427"/>
      <c r="H18" s="422"/>
      <c r="I18" s="112"/>
    </row>
    <row r="19" spans="1:9" hidden="1" x14ac:dyDescent="0.2">
      <c r="A19" s="111"/>
      <c r="B19" s="423"/>
      <c r="C19" s="424" t="s">
        <v>743</v>
      </c>
      <c r="D19" s="425"/>
      <c r="E19" s="424">
        <v>31.12</v>
      </c>
      <c r="F19" s="426"/>
      <c r="G19" s="427" t="s">
        <v>742</v>
      </c>
      <c r="H19" s="422"/>
      <c r="I19" s="112"/>
    </row>
    <row r="20" spans="1:9" x14ac:dyDescent="0.2">
      <c r="A20" s="111"/>
      <c r="B20" s="423"/>
      <c r="C20" s="424" t="s">
        <v>510</v>
      </c>
      <c r="D20" s="425"/>
      <c r="E20" s="424" t="s">
        <v>504</v>
      </c>
      <c r="F20" s="426"/>
      <c r="G20" s="427"/>
      <c r="H20" s="422"/>
      <c r="I20" s="112"/>
    </row>
    <row r="21" spans="1:9" ht="7.5" customHeight="1" x14ac:dyDescent="0.2">
      <c r="A21" s="111"/>
      <c r="B21" s="423"/>
      <c r="C21" s="419"/>
      <c r="D21" s="419"/>
      <c r="E21" s="419"/>
      <c r="F21" s="427"/>
      <c r="G21" s="427"/>
      <c r="H21" s="422"/>
      <c r="I21" s="112"/>
    </row>
    <row r="22" spans="1:9" x14ac:dyDescent="0.2">
      <c r="A22" s="111"/>
      <c r="B22" s="428"/>
      <c r="C22" s="429"/>
      <c r="D22" s="429"/>
      <c r="E22" s="430"/>
      <c r="F22" s="430"/>
      <c r="G22" s="430"/>
      <c r="H22" s="431"/>
      <c r="I22" s="112"/>
    </row>
    <row r="23" spans="1:9" ht="21.75" customHeight="1" thickBot="1" x14ac:dyDescent="0.25">
      <c r="A23" s="128"/>
      <c r="B23" s="128"/>
      <c r="C23" s="128"/>
      <c r="D23" s="128"/>
      <c r="E23" s="128"/>
      <c r="F23" s="128"/>
      <c r="G23" s="128"/>
      <c r="H23" s="128"/>
      <c r="I23" s="129"/>
    </row>
    <row r="24" spans="1:9" ht="13.5" thickTop="1" x14ac:dyDescent="0.2"/>
  </sheetData>
  <sheetProtection password="83C1" sheet="1" objects="1" scenarios="1"/>
  <mergeCells count="1">
    <mergeCell ref="B6:H7"/>
  </mergeCells>
  <phoneticPr fontId="58" type="noConversion"/>
  <hyperlinks>
    <hyperlink ref="C9:D9" location="'הגדרות כלליות'!A1" display="הגדרות כלליות"/>
    <hyperlink ref="C13:D13" location="'תמצית מאזן1'!A1" display="תמצית מאזן 1"/>
    <hyperlink ref="E9" location="'ריכוז תברים'!A1" tooltip="פירוט הכנסות והוצאות בתב&quot;ר לפי פרקי התקציב" display="ריכוז תברים "/>
    <hyperlink ref="E11" location="'גבייה וחייבים'!A1" tooltip="דוח נתוני גבייה ויתרות חייבים" display="גבייה וחייבים"/>
    <hyperlink ref="E13" location="ארנונה!A1" tooltip="דוח תעריפי ארנונה לפי סקטורים" display="ארנונה"/>
    <hyperlink ref="E15" location="'שכר ומשרות'!A1" tooltip="דוח נתוני שכר לפי פרקי התקציב" display="שכר ומשרות "/>
    <hyperlink ref="E20" location="'בעלי שכר גבוה'!A1" tooltip="דוח נוותוני שכר של בעלי שכר גבוה" display="בעלי שכר גבוה"/>
    <hyperlink ref="C13" location="'תמצית מאזן'!A1" tooltip="דוח מאזן צד אקטיב ופאסיב" display="תמצית מאזן"/>
    <hyperlink ref="C9" location="'הגדרות כלליות'!A1" tooltip="נתוני הרשות והתקופה" display="הגדרות כלליות"/>
    <hyperlink ref="C15" location="'תקציב רגיל'!A1" tooltip="דוח נתוני התקציב הרגיל" display="תקציב רגיל"/>
    <hyperlink ref="C20" location="תברים!A1" tooltip="דוח נתוני התקציב הבלתי רגיל" display="תברים"/>
    <hyperlink ref="G9" location="'הערות הרשות'!A1" tooltip="גליון לרישום חופשי של הערות" display="הערות הרשות"/>
    <hyperlink ref="G11" location="מקרא!A1" tooltip="גליון להסבר אופן העבודה ביישום" display="מקרא"/>
    <hyperlink ref="C11" location="'בדיקות הצלבה'!A1" tooltip="בדיקות תקינות על הנתונים. חובה לבדוק גליון זה לפני שליחת הקובץ" display="בדיקות הצלבה"/>
  </hyperlinks>
  <printOptions horizontalCentered="1"/>
  <pageMargins left="0.75" right="0.75" top="1" bottom="1" header="0.5" footer="0.5"/>
  <pageSetup paperSize="9" orientation="portrait" blackAndWhite="1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3"/>
  <dimension ref="A1:O36"/>
  <sheetViews>
    <sheetView showRowColHeaders="0" showZeros="0" rightToLeft="1" showOutlineSymbols="0" workbookViewId="0">
      <selection activeCell="A4" sqref="A4:B4"/>
    </sheetView>
  </sheetViews>
  <sheetFormatPr defaultColWidth="9.140625" defaultRowHeight="12.75" x14ac:dyDescent="0.2"/>
  <cols>
    <col min="1" max="3" width="9.140625" style="42"/>
    <col min="4" max="4" width="9" style="42" customWidth="1"/>
    <col min="5" max="5" width="3" style="42" customWidth="1"/>
    <col min="6" max="13" width="9.140625" style="42"/>
    <col min="14" max="14" width="9.28515625" style="42" customWidth="1"/>
    <col min="15" max="15" width="9.140625" style="42" hidden="1" customWidth="1"/>
    <col min="16" max="16384" width="9.140625" style="42"/>
  </cols>
  <sheetData>
    <row r="1" spans="1:15" ht="17.25" customHeight="1" thickTop="1" thickBo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5" ht="17.25" customHeight="1" thickTop="1" thickBo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O2" s="163" t="str">
        <f>CONCATENATE("לתקופה: רבעון ",D20,", שנת ", D11)</f>
        <v>לתקופה: רבעון 1, שנת 2017</v>
      </c>
    </row>
    <row r="3" spans="1:15" ht="17.25" customHeight="1" thickTop="1" thickBo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O3" s="42">
        <f>IF($D$20=1,3,IF($D$20=2,6,IF($D$20=3,9,IF($D$20=4,12,0))))</f>
        <v>3</v>
      </c>
    </row>
    <row r="4" spans="1:15" ht="17.25" customHeight="1" thickTop="1" x14ac:dyDescent="0.2">
      <c r="A4" s="600" t="s">
        <v>584</v>
      </c>
      <c r="B4" s="600"/>
      <c r="C4" s="43"/>
      <c r="D4" s="43"/>
      <c r="E4" s="43"/>
      <c r="F4" s="43"/>
      <c r="G4" s="43"/>
      <c r="H4" s="43"/>
      <c r="I4" s="43"/>
      <c r="J4" s="44"/>
      <c r="O4" s="42">
        <f>IF(OR(Month=3,Month=12),31,30)</f>
        <v>31</v>
      </c>
    </row>
    <row r="5" spans="1:15" x14ac:dyDescent="0.2">
      <c r="A5" s="43">
        <v>0</v>
      </c>
      <c r="B5" s="43"/>
      <c r="C5" s="43"/>
      <c r="D5" s="43"/>
      <c r="E5" s="43"/>
      <c r="F5" s="43"/>
      <c r="G5" s="43"/>
      <c r="H5" s="43"/>
      <c r="I5" s="43"/>
      <c r="J5" s="44"/>
      <c r="O5" s="42" t="str">
        <f>IF($D$20=1,"מרץ",IF($D$20=2,"יוני",IF($D$20=3,"ספטמבר",IF($D$20=4,"דצמבר",0))))</f>
        <v>מרץ</v>
      </c>
    </row>
    <row r="6" spans="1:15" ht="18" customHeight="1" x14ac:dyDescent="0.2">
      <c r="A6" s="43"/>
      <c r="B6" s="601" t="s">
        <v>736</v>
      </c>
      <c r="C6" s="602"/>
      <c r="D6" s="602"/>
      <c r="E6" s="602"/>
      <c r="F6" s="602"/>
      <c r="G6" s="602"/>
      <c r="H6" s="602"/>
      <c r="I6" s="603"/>
      <c r="J6" s="44"/>
    </row>
    <row r="7" spans="1:15" x14ac:dyDescent="0.2">
      <c r="A7" s="43"/>
      <c r="B7" s="604"/>
      <c r="C7" s="605"/>
      <c r="D7" s="605"/>
      <c r="E7" s="605"/>
      <c r="F7" s="605"/>
      <c r="G7" s="605"/>
      <c r="H7" s="605"/>
      <c r="I7" s="606"/>
      <c r="J7" s="44"/>
    </row>
    <row r="8" spans="1:15" x14ac:dyDescent="0.2">
      <c r="A8" s="43"/>
      <c r="B8" s="164"/>
      <c r="C8" s="48"/>
      <c r="D8" s="48"/>
      <c r="E8" s="48"/>
      <c r="F8" s="48"/>
      <c r="G8" s="48"/>
      <c r="H8" s="48"/>
      <c r="I8" s="49"/>
      <c r="J8" s="44"/>
    </row>
    <row r="9" spans="1:15" x14ac:dyDescent="0.2">
      <c r="A9" s="43"/>
      <c r="B9" s="607" t="s">
        <v>737</v>
      </c>
      <c r="C9" s="598"/>
      <c r="D9" s="608" t="s">
        <v>973</v>
      </c>
      <c r="E9" s="609"/>
      <c r="F9" s="609"/>
      <c r="G9" s="609"/>
      <c r="H9" s="610"/>
      <c r="I9" s="166"/>
      <c r="J9" s="44"/>
    </row>
    <row r="10" spans="1:15" ht="6.95" customHeight="1" x14ac:dyDescent="0.2">
      <c r="A10" s="43"/>
      <c r="B10" s="167"/>
      <c r="C10" s="165"/>
      <c r="D10" s="165"/>
      <c r="E10" s="165"/>
      <c r="F10" s="165"/>
      <c r="G10" s="165"/>
      <c r="H10" s="165"/>
      <c r="I10" s="168"/>
      <c r="J10" s="44"/>
    </row>
    <row r="11" spans="1:15" x14ac:dyDescent="0.2">
      <c r="A11" s="43"/>
      <c r="B11" s="611" t="s">
        <v>738</v>
      </c>
      <c r="C11" s="598"/>
      <c r="D11" s="169">
        <v>2017</v>
      </c>
      <c r="E11" s="165"/>
      <c r="F11" s="598" t="s">
        <v>739</v>
      </c>
      <c r="G11" s="598"/>
      <c r="H11" s="598"/>
      <c r="I11" s="599"/>
      <c r="J11" s="44"/>
    </row>
    <row r="12" spans="1:15" ht="6.95" customHeight="1" x14ac:dyDescent="0.2">
      <c r="A12" s="43"/>
      <c r="B12" s="167"/>
      <c r="C12" s="165"/>
      <c r="D12" s="165"/>
      <c r="E12" s="165"/>
      <c r="F12" s="598"/>
      <c r="G12" s="598"/>
      <c r="H12" s="598"/>
      <c r="I12" s="599"/>
      <c r="J12" s="44"/>
    </row>
    <row r="13" spans="1:15" x14ac:dyDescent="0.2">
      <c r="A13" s="43"/>
      <c r="B13" s="611" t="s">
        <v>590</v>
      </c>
      <c r="C13" s="598"/>
      <c r="D13" s="170">
        <f>D11-1</f>
        <v>2016</v>
      </c>
      <c r="E13" s="165"/>
      <c r="F13" s="598" t="s">
        <v>739</v>
      </c>
      <c r="G13" s="598"/>
      <c r="H13" s="598"/>
      <c r="I13" s="599"/>
      <c r="J13" s="44"/>
    </row>
    <row r="14" spans="1:15" ht="6.95" customHeight="1" x14ac:dyDescent="0.2">
      <c r="A14" s="43"/>
      <c r="B14" s="167"/>
      <c r="C14" s="165"/>
      <c r="D14" s="165"/>
      <c r="E14" s="165"/>
      <c r="F14" s="165"/>
      <c r="G14" s="165"/>
      <c r="H14" s="165"/>
      <c r="I14" s="168"/>
      <c r="J14" s="44"/>
    </row>
    <row r="15" spans="1:15" x14ac:dyDescent="0.2">
      <c r="A15" s="43"/>
      <c r="B15" s="611" t="s">
        <v>740</v>
      </c>
      <c r="C15" s="598"/>
      <c r="D15" s="170">
        <f>D11-2</f>
        <v>2015</v>
      </c>
      <c r="E15" s="165"/>
      <c r="F15" s="598" t="s">
        <v>739</v>
      </c>
      <c r="G15" s="598"/>
      <c r="H15" s="598"/>
      <c r="I15" s="599"/>
      <c r="J15" s="44"/>
    </row>
    <row r="16" spans="1:15" ht="6.95" customHeight="1" x14ac:dyDescent="0.2">
      <c r="A16" s="43"/>
      <c r="B16" s="167"/>
      <c r="C16" s="165"/>
      <c r="D16" s="165"/>
      <c r="E16" s="165"/>
      <c r="F16" s="165"/>
      <c r="G16" s="165"/>
      <c r="H16" s="165"/>
      <c r="I16" s="168"/>
      <c r="J16" s="44"/>
    </row>
    <row r="17" spans="1:10" hidden="1" x14ac:dyDescent="0.2">
      <c r="A17" s="43"/>
      <c r="B17" s="611" t="s">
        <v>741</v>
      </c>
      <c r="C17" s="598"/>
      <c r="D17" s="165">
        <v>1.01</v>
      </c>
      <c r="E17" s="165"/>
      <c r="F17" s="598" t="s">
        <v>742</v>
      </c>
      <c r="G17" s="598"/>
      <c r="H17" s="598"/>
      <c r="I17" s="599"/>
      <c r="J17" s="44"/>
    </row>
    <row r="18" spans="1:10" ht="8.25" hidden="1" customHeight="1" x14ac:dyDescent="0.2">
      <c r="A18" s="43"/>
      <c r="B18" s="167"/>
      <c r="C18" s="165"/>
      <c r="D18" s="165"/>
      <c r="E18" s="165"/>
      <c r="F18" s="165"/>
      <c r="G18" s="165"/>
      <c r="H18" s="165"/>
      <c r="I18" s="168"/>
      <c r="J18" s="44"/>
    </row>
    <row r="19" spans="1:10" hidden="1" x14ac:dyDescent="0.2">
      <c r="A19" s="43"/>
      <c r="B19" s="611" t="s">
        <v>743</v>
      </c>
      <c r="C19" s="598"/>
      <c r="D19" s="165">
        <v>31.12</v>
      </c>
      <c r="E19" s="165"/>
      <c r="F19" s="598" t="s">
        <v>742</v>
      </c>
      <c r="G19" s="598"/>
      <c r="H19" s="598"/>
      <c r="I19" s="599"/>
      <c r="J19" s="44"/>
    </row>
    <row r="20" spans="1:10" x14ac:dyDescent="0.2">
      <c r="A20" s="43"/>
      <c r="B20" s="167" t="s">
        <v>744</v>
      </c>
      <c r="C20" s="165"/>
      <c r="D20" s="171">
        <v>1</v>
      </c>
      <c r="E20" s="165"/>
      <c r="F20" s="165"/>
      <c r="G20" s="165"/>
      <c r="H20" s="165"/>
      <c r="I20" s="168"/>
      <c r="J20" s="44"/>
    </row>
    <row r="21" spans="1:10" ht="7.5" customHeight="1" x14ac:dyDescent="0.2">
      <c r="A21" s="43"/>
      <c r="B21" s="167"/>
      <c r="C21" s="165"/>
      <c r="D21" s="165"/>
      <c r="E21" s="165"/>
      <c r="F21" s="165"/>
      <c r="G21" s="165"/>
      <c r="H21" s="165"/>
      <c r="I21" s="168"/>
      <c r="J21" s="44"/>
    </row>
    <row r="22" spans="1:10" x14ac:dyDescent="0.2">
      <c r="A22" s="43"/>
      <c r="B22" s="167" t="s">
        <v>745</v>
      </c>
      <c r="C22" s="165"/>
      <c r="D22" s="614" t="s">
        <v>908</v>
      </c>
      <c r="E22" s="615"/>
      <c r="F22" s="616"/>
      <c r="G22" s="165"/>
      <c r="H22" s="165"/>
      <c r="I22" s="168"/>
      <c r="J22" s="44"/>
    </row>
    <row r="23" spans="1:10" ht="8.25" customHeight="1" x14ac:dyDescent="0.2">
      <c r="A23" s="43"/>
      <c r="B23" s="167"/>
      <c r="C23" s="165"/>
      <c r="D23" s="165"/>
      <c r="E23" s="165"/>
      <c r="F23" s="165"/>
      <c r="G23" s="165"/>
      <c r="H23" s="165"/>
      <c r="I23" s="168"/>
      <c r="J23" s="44"/>
    </row>
    <row r="24" spans="1:10" x14ac:dyDescent="0.2">
      <c r="A24" s="43"/>
      <c r="B24" s="167" t="s">
        <v>746</v>
      </c>
      <c r="C24" s="165"/>
      <c r="D24" s="165"/>
      <c r="E24" s="165"/>
      <c r="F24" s="165"/>
      <c r="G24" s="172" t="s">
        <v>581</v>
      </c>
      <c r="H24" s="165"/>
      <c r="I24" s="168"/>
      <c r="J24" s="44"/>
    </row>
    <row r="25" spans="1:10" ht="8.25" customHeight="1" x14ac:dyDescent="0.2">
      <c r="A25" s="43"/>
      <c r="B25" s="167"/>
      <c r="C25" s="165"/>
      <c r="D25" s="165"/>
      <c r="E25" s="165"/>
      <c r="F25" s="165"/>
      <c r="G25" s="165"/>
      <c r="H25" s="165"/>
      <c r="I25" s="168"/>
      <c r="J25" s="44"/>
    </row>
    <row r="26" spans="1:10" x14ac:dyDescent="0.2">
      <c r="A26" s="43"/>
      <c r="B26" s="173" t="s">
        <v>747</v>
      </c>
      <c r="C26" s="165"/>
      <c r="D26" s="165"/>
      <c r="E26" s="165"/>
      <c r="F26" s="174"/>
      <c r="G26" s="175"/>
      <c r="H26" s="165"/>
      <c r="I26" s="168"/>
      <c r="J26" s="44"/>
    </row>
    <row r="27" spans="1:10" ht="8.25" customHeight="1" x14ac:dyDescent="0.2">
      <c r="A27" s="43"/>
      <c r="B27" s="173"/>
      <c r="C27" s="165"/>
      <c r="D27" s="165"/>
      <c r="E27" s="165"/>
      <c r="F27" s="174"/>
      <c r="G27" s="525"/>
      <c r="H27" s="165"/>
      <c r="I27" s="168"/>
      <c r="J27" s="44"/>
    </row>
    <row r="28" spans="1:10" x14ac:dyDescent="0.2">
      <c r="A28" s="43"/>
      <c r="B28" s="173" t="s">
        <v>845</v>
      </c>
      <c r="C28" s="165"/>
      <c r="D28" s="165"/>
      <c r="E28" s="165"/>
      <c r="F28" s="174"/>
      <c r="G28" s="172" t="s">
        <v>581</v>
      </c>
      <c r="H28" s="165"/>
      <c r="I28" s="168"/>
      <c r="J28" s="44"/>
    </row>
    <row r="29" spans="1:10" ht="8.25" customHeight="1" x14ac:dyDescent="0.2">
      <c r="A29" s="43"/>
      <c r="B29" s="173"/>
      <c r="C29" s="165"/>
      <c r="D29" s="165"/>
      <c r="E29" s="165"/>
      <c r="F29" s="174"/>
      <c r="G29" s="527"/>
      <c r="H29" s="165"/>
      <c r="I29" s="168"/>
      <c r="J29" s="44"/>
    </row>
    <row r="30" spans="1:10" x14ac:dyDescent="0.2">
      <c r="A30" s="43"/>
      <c r="B30" s="173" t="s">
        <v>847</v>
      </c>
      <c r="C30" s="165"/>
      <c r="D30" s="165"/>
      <c r="E30" s="165"/>
      <c r="F30" s="174"/>
      <c r="G30" s="612" t="s">
        <v>831</v>
      </c>
      <c r="H30" s="613"/>
      <c r="I30" s="168"/>
      <c r="J30" s="44"/>
    </row>
    <row r="31" spans="1:10" x14ac:dyDescent="0.2">
      <c r="A31" s="43"/>
      <c r="B31" s="176"/>
      <c r="C31" s="54"/>
      <c r="D31" s="54"/>
      <c r="E31" s="54"/>
      <c r="F31" s="54"/>
      <c r="G31" s="54"/>
      <c r="H31" s="54"/>
      <c r="I31" s="55"/>
      <c r="J31" s="44"/>
    </row>
    <row r="32" spans="1:10" ht="21.75" customHeight="1" thickBot="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7"/>
    </row>
    <row r="33" spans="1:1" ht="13.5" thickTop="1" x14ac:dyDescent="0.2"/>
    <row r="36" spans="1:1" x14ac:dyDescent="0.2">
      <c r="A36" s="58"/>
    </row>
  </sheetData>
  <sheetProtection password="83C1" sheet="1" objects="1" scenarios="1"/>
  <mergeCells count="17">
    <mergeCell ref="G30:H30"/>
    <mergeCell ref="B19:C19"/>
    <mergeCell ref="F19:I19"/>
    <mergeCell ref="D22:F22"/>
    <mergeCell ref="B15:C15"/>
    <mergeCell ref="F15:I15"/>
    <mergeCell ref="B17:C17"/>
    <mergeCell ref="F17:I17"/>
    <mergeCell ref="F13:I13"/>
    <mergeCell ref="A4:B4"/>
    <mergeCell ref="B6:I7"/>
    <mergeCell ref="B9:C9"/>
    <mergeCell ref="D9:H9"/>
    <mergeCell ref="B11:C11"/>
    <mergeCell ref="F11:I11"/>
    <mergeCell ref="F12:I12"/>
    <mergeCell ref="B13:C13"/>
  </mergeCells>
  <phoneticPr fontId="58" type="noConversion"/>
  <dataValidations count="6">
    <dataValidation type="list" allowBlank="1" showInputMessage="1" showErrorMessage="1" sqref="D22:F22 D23 D25">
      <formula1>"עיריה, מועצה מקומית, מועצה אזורית"</formula1>
    </dataValidation>
    <dataValidation type="list" showInputMessage="1" showErrorMessage="1" errorTitle="יישום הדוח הרבעוני" error="יש לבחור באחד הרכים שברשימה" sqref="G24 G28:G29">
      <formula1>"כן, לא"</formula1>
    </dataValidation>
    <dataValidation type="whole" allowBlank="1" showInputMessage="1" showErrorMessage="1" sqref="D11">
      <formula1>1900</formula1>
      <formula2>9999</formula2>
    </dataValidation>
    <dataValidation type="whole" allowBlank="1" showInputMessage="1" showErrorMessage="1" sqref="D20">
      <formula1>1</formula1>
      <formula2>10</formula2>
    </dataValidation>
    <dataValidation showInputMessage="1" showErrorMessage="1" errorTitle="יישום הדוח הרבעוני" error="יש לבחור באחד הרכים שברשימה" sqref="G25:G28"/>
    <dataValidation type="list" showInputMessage="1" showErrorMessage="1" errorTitle="יישום הדוח הרבעוני" error="יש לבחור באחד הרכים שברשימה" sqref="G30">
      <formula1>"הנהלת הרשות, מועצת הרשות, משרד הפנים"</formula1>
    </dataValidation>
  </dataValidations>
  <hyperlinks>
    <hyperlink ref="A4" location="'תוכן הענינים'!A1" tooltip="לחץ להצגת גליון תוכן הענינים" display="הצג תוכן ענינים"/>
  </hyperlinks>
  <printOptions horizontalCentered="1"/>
  <pageMargins left="0.75" right="0.75" top="1" bottom="1" header="0.5" footer="0.5"/>
  <pageSetup paperSize="9" orientation="portrait" blackAndWhite="1" verticalDpi="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4"/>
  <dimension ref="A1:R504"/>
  <sheetViews>
    <sheetView showRowColHeaders="0" showZeros="0" rightToLeft="1" zoomScale="75" workbookViewId="0"/>
  </sheetViews>
  <sheetFormatPr defaultColWidth="9.140625" defaultRowHeight="12.75" x14ac:dyDescent="0.2"/>
  <cols>
    <col min="1" max="1" width="4.5703125" style="416" customWidth="1"/>
    <col min="2" max="2" width="12.85546875" style="42" customWidth="1"/>
    <col min="3" max="3" width="29.85546875" style="42" customWidth="1"/>
    <col min="4" max="4" width="5.42578125" style="417" customWidth="1"/>
    <col min="5" max="5" width="10" style="224" customWidth="1"/>
    <col min="6" max="6" width="13" style="42" customWidth="1"/>
    <col min="7" max="7" width="26" style="42" customWidth="1"/>
    <col min="8" max="8" width="5.28515625" style="458" customWidth="1"/>
    <col min="9" max="9" width="10" style="224" customWidth="1"/>
    <col min="10" max="10" width="8.7109375" style="42" customWidth="1"/>
    <col min="11" max="11" width="10" style="224" customWidth="1"/>
    <col min="12" max="12" width="41.85546875" style="42" customWidth="1"/>
    <col min="13" max="13" width="10.85546875" style="42" customWidth="1"/>
    <col min="14" max="14" width="9.28515625" style="42" customWidth="1"/>
    <col min="15" max="15" width="9.140625" style="42"/>
    <col min="16" max="16" width="30.5703125" style="42" hidden="1" customWidth="1"/>
    <col min="17" max="16384" width="9.140625" style="42"/>
  </cols>
  <sheetData>
    <row r="1" spans="1:16" ht="15.75" customHeight="1" x14ac:dyDescent="0.2">
      <c r="A1" s="59" t="s">
        <v>584</v>
      </c>
      <c r="B1" s="279"/>
      <c r="C1" s="279"/>
      <c r="D1" s="280"/>
      <c r="E1" s="281"/>
      <c r="F1" s="279"/>
      <c r="G1" s="279"/>
      <c r="H1" s="447"/>
      <c r="I1" s="281"/>
      <c r="J1" s="279"/>
      <c r="K1" s="281"/>
      <c r="L1" s="279"/>
      <c r="M1" s="279"/>
      <c r="N1" s="282"/>
    </row>
    <row r="2" spans="1:16" ht="29.25" customHeight="1" x14ac:dyDescent="0.2">
      <c r="A2" s="617">
        <f>'הגדרות כלליות'!D6</f>
        <v>0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279"/>
      <c r="N2" s="282"/>
    </row>
    <row r="3" spans="1:16" ht="36" hidden="1" customHeight="1" x14ac:dyDescent="0.2">
      <c r="A3" s="283"/>
      <c r="B3" s="284" t="s">
        <v>904</v>
      </c>
      <c r="C3" s="284" t="s">
        <v>905</v>
      </c>
      <c r="D3" s="285"/>
      <c r="E3" s="286" t="s">
        <v>906</v>
      </c>
      <c r="F3" s="284">
        <f>Shana</f>
        <v>2017</v>
      </c>
      <c r="G3" s="284">
        <f>ShanaKodemet</f>
        <v>2016</v>
      </c>
      <c r="H3" s="448">
        <f>'הגדרות כלליות'!D12</f>
        <v>0</v>
      </c>
      <c r="I3" s="286" t="s">
        <v>907</v>
      </c>
      <c r="J3" s="284">
        <v>2</v>
      </c>
      <c r="K3" s="286" t="s">
        <v>908</v>
      </c>
      <c r="L3" s="284" t="s">
        <v>579</v>
      </c>
      <c r="M3" s="284"/>
      <c r="N3" s="282"/>
    </row>
    <row r="4" spans="1:16" ht="18.75" customHeight="1" x14ac:dyDescent="0.2">
      <c r="A4" s="618" t="s">
        <v>909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287"/>
      <c r="N4" s="282"/>
    </row>
    <row r="5" spans="1:16" ht="15.75" x14ac:dyDescent="0.2">
      <c r="A5" s="288"/>
      <c r="B5" s="619" t="s">
        <v>910</v>
      </c>
      <c r="C5" s="619"/>
      <c r="D5" s="619"/>
      <c r="E5" s="619"/>
      <c r="F5" s="619"/>
      <c r="G5" s="619"/>
      <c r="H5" s="619"/>
      <c r="I5" s="619"/>
      <c r="J5" s="619" t="s">
        <v>911</v>
      </c>
      <c r="K5" s="619"/>
      <c r="L5" s="619"/>
      <c r="M5" s="289"/>
      <c r="N5" s="282"/>
    </row>
    <row r="6" spans="1:16" ht="12" customHeight="1" x14ac:dyDescent="0.2">
      <c r="A6" s="290"/>
      <c r="B6" s="621" t="s">
        <v>912</v>
      </c>
      <c r="C6" s="621"/>
      <c r="D6" s="621"/>
      <c r="E6" s="622"/>
      <c r="F6" s="623" t="s">
        <v>913</v>
      </c>
      <c r="G6" s="621"/>
      <c r="H6" s="621"/>
      <c r="I6" s="622"/>
      <c r="J6" s="291"/>
      <c r="K6" s="292"/>
      <c r="L6" s="292"/>
      <c r="M6" s="293"/>
      <c r="N6" s="282"/>
    </row>
    <row r="7" spans="1:16" x14ac:dyDescent="0.2">
      <c r="A7" s="294"/>
      <c r="B7" s="45" t="s">
        <v>914</v>
      </c>
      <c r="C7" s="45" t="s">
        <v>684</v>
      </c>
      <c r="D7" s="295" t="s">
        <v>915</v>
      </c>
      <c r="E7" s="296" t="s">
        <v>916</v>
      </c>
      <c r="F7" s="45" t="s">
        <v>914</v>
      </c>
      <c r="G7" s="45" t="s">
        <v>684</v>
      </c>
      <c r="H7" s="449" t="s">
        <v>915</v>
      </c>
      <c r="I7" s="296" t="s">
        <v>916</v>
      </c>
      <c r="J7" s="45" t="s">
        <v>904</v>
      </c>
      <c r="K7" s="296" t="s">
        <v>917</v>
      </c>
      <c r="L7" s="45" t="s">
        <v>577</v>
      </c>
      <c r="M7" s="45" t="s">
        <v>918</v>
      </c>
      <c r="N7" s="282"/>
    </row>
    <row r="8" spans="1:16" ht="39" customHeight="1" x14ac:dyDescent="0.2">
      <c r="A8" s="477">
        <v>1</v>
      </c>
      <c r="B8" s="297" t="s">
        <v>919</v>
      </c>
      <c r="C8" s="297" t="s">
        <v>607</v>
      </c>
      <c r="D8" s="298">
        <f>Shana</f>
        <v>2017</v>
      </c>
      <c r="E8" s="299">
        <f>'תמצית מאזן'!D30</f>
        <v>72772</v>
      </c>
      <c r="F8" s="300" t="s">
        <v>919</v>
      </c>
      <c r="G8" s="297" t="s">
        <v>920</v>
      </c>
      <c r="H8" s="450">
        <f>$F$3</f>
        <v>2017</v>
      </c>
      <c r="I8" s="299">
        <f>'תמצית מאזן'!D55</f>
        <v>72772</v>
      </c>
      <c r="J8" s="301" t="str">
        <f>IF($E8=$I8,$B$3,0)</f>
        <v>תקין</v>
      </c>
      <c r="K8" s="537">
        <f>IF($E8=$I8,0,E8-I8)</f>
        <v>0</v>
      </c>
      <c r="L8" s="302">
        <f>IF($E8=$I8,0,P8)</f>
        <v>0</v>
      </c>
      <c r="M8" s="553"/>
      <c r="N8" s="282"/>
      <c r="P8" s="42" t="s">
        <v>921</v>
      </c>
    </row>
    <row r="9" spans="1:16" ht="36.75" customHeight="1" x14ac:dyDescent="0.2">
      <c r="A9" s="477">
        <v>2</v>
      </c>
      <c r="B9" s="297" t="s">
        <v>919</v>
      </c>
      <c r="C9" s="297" t="s">
        <v>607</v>
      </c>
      <c r="D9" s="298">
        <f>ShanaKodemet</f>
        <v>2016</v>
      </c>
      <c r="E9" s="299">
        <f>'תמצית מאזן'!F30</f>
        <v>71661</v>
      </c>
      <c r="F9" s="303" t="s">
        <v>919</v>
      </c>
      <c r="G9" s="297" t="s">
        <v>920</v>
      </c>
      <c r="H9" s="450">
        <f>$G$3</f>
        <v>2016</v>
      </c>
      <c r="I9" s="299">
        <f>'תמצית מאזן'!F55</f>
        <v>71661</v>
      </c>
      <c r="J9" s="304" t="str">
        <f>IF(E9=I9,"תקין",0)</f>
        <v>תקין</v>
      </c>
      <c r="K9" s="538">
        <f>IF($E9=$I9,0,E9-I9)</f>
        <v>0</v>
      </c>
      <c r="L9" s="305">
        <f>IF($E9=$I9,0,P9)</f>
        <v>0</v>
      </c>
      <c r="M9" s="554"/>
      <c r="N9" s="282"/>
      <c r="P9" s="42" t="s">
        <v>922</v>
      </c>
    </row>
    <row r="10" spans="1:16" ht="39.75" customHeight="1" x14ac:dyDescent="0.2">
      <c r="A10" s="477">
        <v>3</v>
      </c>
      <c r="B10" s="297" t="s">
        <v>919</v>
      </c>
      <c r="C10" s="297" t="s">
        <v>923</v>
      </c>
      <c r="D10" s="298">
        <f>$F$3</f>
        <v>2017</v>
      </c>
      <c r="E10" s="299">
        <f>'תמצית מאזן'!D17</f>
        <v>12514</v>
      </c>
      <c r="F10" s="303" t="s">
        <v>919</v>
      </c>
      <c r="G10" s="297" t="str">
        <f>IF('תמצית מאזן'!$F$20&lt;&gt;0,'תמצית מאזן'!$B$20,'תמצית מאזן'!$B$47)</f>
        <v>סה"כ גרעון מצטבר בתקציב הרגיל</v>
      </c>
      <c r="H10" s="450">
        <f>$G$3</f>
        <v>2016</v>
      </c>
      <c r="I10" s="299">
        <f>IF(E10&lt;&gt;0,IF('תמצית מאזן'!F20&lt;&gt;0,'תמצית מאזן'!F20,'תמצית מאזן'!F47*(-1)),0)</f>
        <v>12514</v>
      </c>
      <c r="J10" s="304" t="str">
        <f>IF($E10=$I10,"תקין",0)</f>
        <v>תקין</v>
      </c>
      <c r="K10" s="538">
        <f>IF($E10=$I10,0,$E10-$I10)</f>
        <v>0</v>
      </c>
      <c r="L10" s="305">
        <f>IF(E10&lt;&gt;0,IF($E10=$I10,0,P10),$E$3)</f>
        <v>0</v>
      </c>
      <c r="M10" s="554"/>
      <c r="N10" s="282"/>
      <c r="P10" s="42" t="s">
        <v>924</v>
      </c>
    </row>
    <row r="11" spans="1:16" ht="32.25" customHeight="1" x14ac:dyDescent="0.2">
      <c r="A11" s="477">
        <v>4</v>
      </c>
      <c r="B11" s="297" t="s">
        <v>919</v>
      </c>
      <c r="C11" s="297" t="s">
        <v>925</v>
      </c>
      <c r="D11" s="298">
        <f>$F$3</f>
        <v>2017</v>
      </c>
      <c r="E11" s="299">
        <f>'תמצית מאזן'!D45</f>
        <v>0</v>
      </c>
      <c r="F11" s="303" t="s">
        <v>919</v>
      </c>
      <c r="G11" s="297" t="str">
        <f>IF('תמצית מאזן'!$F$47&lt;&gt;0,'תמצית מאזן'!$B$47,'תמצית מאזן'!$B$20)</f>
        <v>סה"כ גרעון מצטבר בתקציב הרגיל</v>
      </c>
      <c r="H11" s="450">
        <f>$G$3</f>
        <v>2016</v>
      </c>
      <c r="I11" s="299">
        <f>IF(E11&lt;&gt;0,IF('תמצית מאזן'!F47&lt;&gt;0,'תמצית מאזן'!F47,'תמצית מאזן'!F20*(-1)),0)</f>
        <v>0</v>
      </c>
      <c r="J11" s="304" t="str">
        <f>IF($E11=$I11,"תקין",0)</f>
        <v>תקין</v>
      </c>
      <c r="K11" s="538">
        <f>IF($E11=$I11,0,$E11-$I11)</f>
        <v>0</v>
      </c>
      <c r="L11" s="305" t="str">
        <f>IF(E11&lt;&gt;0,IF($E11=$I11,0,P11),$E$3)</f>
        <v>לא רלוונטי</v>
      </c>
      <c r="M11" s="554"/>
      <c r="N11" s="282"/>
      <c r="P11" s="42" t="s">
        <v>926</v>
      </c>
    </row>
    <row r="12" spans="1:16" ht="54" customHeight="1" x14ac:dyDescent="0.2">
      <c r="A12" s="477">
        <v>5</v>
      </c>
      <c r="B12" s="297" t="s">
        <v>919</v>
      </c>
      <c r="C12" s="297" t="s">
        <v>927</v>
      </c>
      <c r="D12" s="298">
        <f>$F$3</f>
        <v>2017</v>
      </c>
      <c r="E12" s="299">
        <f>'תמצית מאזן'!D18</f>
        <v>0</v>
      </c>
      <c r="F12" s="303" t="s">
        <v>919</v>
      </c>
      <c r="G12" s="297" t="s">
        <v>928</v>
      </c>
      <c r="H12" s="450">
        <f>$F$3</f>
        <v>2017</v>
      </c>
      <c r="I12" s="299">
        <f>'תמצית מאזן'!D66</f>
        <v>0</v>
      </c>
      <c r="J12" s="304" t="str">
        <f>IF(ABS($E12) =$I12,"תקין",0)</f>
        <v>תקין</v>
      </c>
      <c r="K12" s="538">
        <f>IF(ABS($E12) = $I12,0,ABS($E12)-$I12)</f>
        <v>0</v>
      </c>
      <c r="L12" s="305">
        <f>IF(ABS($E12) = $I12,0,P12)</f>
        <v>0</v>
      </c>
      <c r="M12" s="554"/>
      <c r="N12" s="282"/>
      <c r="P12" s="42" t="s">
        <v>929</v>
      </c>
    </row>
    <row r="13" spans="1:16" ht="52.5" customHeight="1" x14ac:dyDescent="0.2">
      <c r="A13" s="477">
        <v>6</v>
      </c>
      <c r="B13" s="297" t="s">
        <v>919</v>
      </c>
      <c r="C13" s="297" t="s">
        <v>927</v>
      </c>
      <c r="D13" s="298">
        <f>ShanaKodemet</f>
        <v>2016</v>
      </c>
      <c r="E13" s="299">
        <f>'תמצית מאזן'!F18</f>
        <v>0</v>
      </c>
      <c r="F13" s="303" t="s">
        <v>919</v>
      </c>
      <c r="G13" s="297" t="s">
        <v>928</v>
      </c>
      <c r="H13" s="450">
        <f>$G$3</f>
        <v>2016</v>
      </c>
      <c r="I13" s="299">
        <f>'תמצית מאזן'!F66</f>
        <v>0</v>
      </c>
      <c r="J13" s="304" t="str">
        <f>IF(ABS($E13) =$I13,"תקין",0)</f>
        <v>תקין</v>
      </c>
      <c r="K13" s="538">
        <f>IF(ABS($E13) = $I13,0,ABS($E13)-$I13)</f>
        <v>0</v>
      </c>
      <c r="L13" s="305">
        <f>IF(ABS($E13) = $I13,0,P13)</f>
        <v>0</v>
      </c>
      <c r="M13" s="554"/>
      <c r="N13" s="282"/>
      <c r="P13" s="42" t="s">
        <v>930</v>
      </c>
    </row>
    <row r="14" spans="1:16" ht="36.75" customHeight="1" x14ac:dyDescent="0.2">
      <c r="A14" s="477">
        <v>7</v>
      </c>
      <c r="B14" s="297" t="s">
        <v>919</v>
      </c>
      <c r="C14" s="297" t="s">
        <v>931</v>
      </c>
      <c r="D14" s="298">
        <f>$F$3</f>
        <v>2017</v>
      </c>
      <c r="E14" s="299">
        <f>'תמצית מאזן'!D19</f>
        <v>-86</v>
      </c>
      <c r="F14" s="303" t="s">
        <v>932</v>
      </c>
      <c r="G14" s="297" t="s">
        <v>933</v>
      </c>
      <c r="H14" s="450">
        <f>$F$3</f>
        <v>2017</v>
      </c>
      <c r="I14" s="299">
        <f>IF(E14&lt;&gt;0,'תקציב רגיל'!G57*(-1),0)</f>
        <v>-85.800400000000081</v>
      </c>
      <c r="J14" s="304">
        <f>IF(E14&lt;&gt;0,IF(E14=I14,$B$3,0),$E$3)</f>
        <v>0</v>
      </c>
      <c r="K14" s="538">
        <f>IF($E14=$I14,0,$E14-$I14)</f>
        <v>-0.19959999999991851</v>
      </c>
      <c r="L14" s="305" t="str">
        <f>IF(E14&lt;&gt;0,IF($E14=$I14,0,$P$14),$E$3)</f>
        <v>גרעון שוטף בתקופת הדוח בטופס 1 שונה מביצוע מצטבר גרעון / עודף  בתקופת הדוח בטופס 2</v>
      </c>
      <c r="M14" s="554"/>
      <c r="N14" s="282"/>
      <c r="P14" s="42" t="s">
        <v>934</v>
      </c>
    </row>
    <row r="15" spans="1:16" ht="41.25" customHeight="1" x14ac:dyDescent="0.2">
      <c r="A15" s="477">
        <v>8</v>
      </c>
      <c r="B15" s="297" t="s">
        <v>919</v>
      </c>
      <c r="C15" s="297" t="s">
        <v>935</v>
      </c>
      <c r="D15" s="298">
        <f>$F$3</f>
        <v>2017</v>
      </c>
      <c r="E15" s="299">
        <f>'תמצית מאזן'!D46</f>
        <v>0</v>
      </c>
      <c r="F15" s="303" t="s">
        <v>932</v>
      </c>
      <c r="G15" s="297" t="s">
        <v>936</v>
      </c>
      <c r="H15" s="450">
        <f>$F$3</f>
        <v>2017</v>
      </c>
      <c r="I15" s="299">
        <f>IF(E15&lt;&gt;0,'תקציב רגיל'!G57,0)</f>
        <v>0</v>
      </c>
      <c r="J15" s="304" t="str">
        <f>IF(E15&lt;&gt;0,IF(E15=I15,$B$3,0),$E$3)</f>
        <v>לא רלוונטי</v>
      </c>
      <c r="K15" s="538">
        <f>IF($E15=$I15,0,$E15-$I15)</f>
        <v>0</v>
      </c>
      <c r="L15" s="305" t="str">
        <f>IF(E15&lt;&gt;0,IF($E15=$I15,0,$P$15),$E$3)</f>
        <v>לא רלוונטי</v>
      </c>
      <c r="M15" s="554"/>
      <c r="N15" s="282"/>
      <c r="P15" s="42" t="s">
        <v>937</v>
      </c>
    </row>
    <row r="16" spans="1:16" x14ac:dyDescent="0.2">
      <c r="A16" s="477">
        <v>9</v>
      </c>
      <c r="B16" s="297" t="s">
        <v>919</v>
      </c>
      <c r="C16" s="297" t="s">
        <v>938</v>
      </c>
      <c r="D16" s="298">
        <f>$F$3</f>
        <v>2017</v>
      </c>
      <c r="E16" s="299">
        <f>'תמצית מאזן'!D41</f>
        <v>43155</v>
      </c>
      <c r="F16" s="303" t="s">
        <v>919</v>
      </c>
      <c r="G16" s="297" t="s">
        <v>639</v>
      </c>
      <c r="H16" s="450">
        <f>$F$3</f>
        <v>2017</v>
      </c>
      <c r="I16" s="299">
        <f>'תמצית מאזן'!D80</f>
        <v>43155</v>
      </c>
      <c r="J16" s="304" t="str">
        <f>IF($E16=$I16,"תקין",0)</f>
        <v>תקין</v>
      </c>
      <c r="K16" s="538">
        <f>IF($E16=$I16,0,$E16-$I16)</f>
        <v>0</v>
      </c>
      <c r="L16" s="305">
        <f>IF($E16=$I16,0,$P$16)</f>
        <v>0</v>
      </c>
      <c r="M16" s="554"/>
      <c r="N16" s="282"/>
      <c r="P16" s="42" t="s">
        <v>939</v>
      </c>
    </row>
    <row r="17" spans="1:16" ht="51" customHeight="1" x14ac:dyDescent="0.2">
      <c r="A17" s="477">
        <v>10</v>
      </c>
      <c r="B17" s="297" t="s">
        <v>919</v>
      </c>
      <c r="C17" s="297" t="s">
        <v>938</v>
      </c>
      <c r="D17" s="298">
        <f>ShanaKodemet</f>
        <v>2016</v>
      </c>
      <c r="E17" s="299">
        <f>'תמצית מאזן'!F41</f>
        <v>40876</v>
      </c>
      <c r="F17" s="303" t="s">
        <v>919</v>
      </c>
      <c r="G17" s="297" t="s">
        <v>639</v>
      </c>
      <c r="H17" s="450">
        <f>ShanaKodemet</f>
        <v>2016</v>
      </c>
      <c r="I17" s="299">
        <f>'תמצית מאזן'!F80</f>
        <v>40876</v>
      </c>
      <c r="J17" s="304" t="str">
        <f>IF($E17=$I17,"תקין",0)</f>
        <v>תקין</v>
      </c>
      <c r="K17" s="538">
        <f>IF($E17=$I17,0,$E17-$I17)</f>
        <v>0</v>
      </c>
      <c r="L17" s="305">
        <f>IF($E17=$I17,0,$P$17)</f>
        <v>0</v>
      </c>
      <c r="M17" s="554"/>
      <c r="N17" s="306"/>
      <c r="P17" s="42" t="s">
        <v>940</v>
      </c>
    </row>
    <row r="18" spans="1:16" ht="36" customHeight="1" x14ac:dyDescent="0.2">
      <c r="A18" s="477">
        <v>15</v>
      </c>
      <c r="B18" s="297" t="s">
        <v>919</v>
      </c>
      <c r="C18" s="297" t="s">
        <v>943</v>
      </c>
      <c r="D18" s="298">
        <f>$F$3</f>
        <v>2017</v>
      </c>
      <c r="E18" s="299">
        <f>'תמצית מאזן'!D59</f>
        <v>59831</v>
      </c>
      <c r="F18" s="303"/>
      <c r="G18" s="297"/>
      <c r="H18" s="450"/>
      <c r="I18" s="299"/>
      <c r="J18" s="304" t="str">
        <f>IF(OR($E18=$I$3, $E18&lt;&gt;0),$B$3,0)</f>
        <v>תקין</v>
      </c>
      <c r="K18" s="538"/>
      <c r="L18" s="305">
        <f>IF(E18=0,$P$18,0)</f>
        <v>0</v>
      </c>
      <c r="M18" s="554"/>
      <c r="N18" s="282"/>
      <c r="P18" s="42" t="s">
        <v>944</v>
      </c>
    </row>
    <row r="19" spans="1:16" ht="36" customHeight="1" x14ac:dyDescent="0.2">
      <c r="A19" s="477">
        <v>16</v>
      </c>
      <c r="B19" s="297" t="s">
        <v>919</v>
      </c>
      <c r="C19" s="297" t="s">
        <v>943</v>
      </c>
      <c r="D19" s="298">
        <f>ShanaKodemet</f>
        <v>2016</v>
      </c>
      <c r="E19" s="299">
        <f>'תמצית מאזן'!F59</f>
        <v>61322</v>
      </c>
      <c r="F19" s="303"/>
      <c r="G19" s="297"/>
      <c r="H19" s="450"/>
      <c r="I19" s="299"/>
      <c r="J19" s="307" t="str">
        <f>IF(OR($E19=$I$3, $E19&lt;&gt;0),$B$3,0)</f>
        <v>תקין</v>
      </c>
      <c r="K19" s="537"/>
      <c r="L19" s="308">
        <f>IF(E19=0,$P$19,0)</f>
        <v>0</v>
      </c>
      <c r="M19" s="555"/>
      <c r="N19" s="282"/>
      <c r="P19" s="42" t="s">
        <v>945</v>
      </c>
    </row>
    <row r="20" spans="1:16" ht="36" customHeight="1" x14ac:dyDescent="0.2">
      <c r="A20" s="477">
        <v>17</v>
      </c>
      <c r="B20" s="297" t="s">
        <v>919</v>
      </c>
      <c r="C20" s="297" t="s">
        <v>613</v>
      </c>
      <c r="D20" s="298">
        <f>$F$3</f>
        <v>2017</v>
      </c>
      <c r="E20" s="299">
        <f>'תמצית מאזן'!D38</f>
        <v>3674</v>
      </c>
      <c r="F20" s="303" t="s">
        <v>946</v>
      </c>
      <c r="G20" s="297" t="s">
        <v>947</v>
      </c>
      <c r="H20" s="450">
        <f>$F$3</f>
        <v>2017</v>
      </c>
      <c r="I20" s="299">
        <f>'גבייה וחייבים'!C24</f>
        <v>3624</v>
      </c>
      <c r="J20" s="307" t="str">
        <f>IF($E20&gt;=$I20,"תקין",0)</f>
        <v>תקין</v>
      </c>
      <c r="K20" s="537">
        <f>IF($E20&gt;=$I20,0,$E20-$I20)</f>
        <v>0</v>
      </c>
      <c r="L20" s="308">
        <f>IF($E20&gt;=$I20,0,$P$20)</f>
        <v>0</v>
      </c>
      <c r="M20" s="557"/>
      <c r="N20" s="282"/>
      <c r="P20" s="42" t="s">
        <v>948</v>
      </c>
    </row>
    <row r="21" spans="1:16" ht="36" customHeight="1" x14ac:dyDescent="0.2">
      <c r="A21" s="477">
        <v>18</v>
      </c>
      <c r="B21" s="297" t="s">
        <v>919</v>
      </c>
      <c r="C21" s="297" t="s">
        <v>597</v>
      </c>
      <c r="D21" s="298">
        <f>$F$3</f>
        <v>2017</v>
      </c>
      <c r="E21" s="299">
        <f>'תמצית מאזן'!D14</f>
        <v>3209</v>
      </c>
      <c r="F21" s="303" t="s">
        <v>919</v>
      </c>
      <c r="G21" s="297" t="s">
        <v>616</v>
      </c>
      <c r="H21" s="450">
        <f>$F$3</f>
        <v>2017</v>
      </c>
      <c r="I21" s="299">
        <f>'תמצית מאזן'!D43</f>
        <v>3209</v>
      </c>
      <c r="J21" s="307" t="str">
        <f>IF($E21=$I21,"תקין",0)</f>
        <v>תקין</v>
      </c>
      <c r="K21" s="537">
        <f>IF($E21=$I21,0,$E21-$I21)</f>
        <v>0</v>
      </c>
      <c r="L21" s="308">
        <f>IF($E21=$I21,0,$P$21)</f>
        <v>0</v>
      </c>
      <c r="M21" s="555"/>
      <c r="N21" s="282"/>
      <c r="P21" s="42" t="s">
        <v>949</v>
      </c>
    </row>
    <row r="22" spans="1:16" ht="36" customHeight="1" x14ac:dyDescent="0.2">
      <c r="A22" s="477">
        <v>19</v>
      </c>
      <c r="B22" s="297" t="s">
        <v>919</v>
      </c>
      <c r="C22" s="297" t="s">
        <v>597</v>
      </c>
      <c r="D22" s="298">
        <f>ShanaKodemet</f>
        <v>2016</v>
      </c>
      <c r="E22" s="299">
        <f>'תמצית מאזן'!F14</f>
        <v>3208</v>
      </c>
      <c r="F22" s="303" t="s">
        <v>919</v>
      </c>
      <c r="G22" s="297" t="s">
        <v>616</v>
      </c>
      <c r="H22" s="450">
        <f>ShanaKodemet</f>
        <v>2016</v>
      </c>
      <c r="I22" s="299">
        <f>'תמצית מאזן'!F43</f>
        <v>3208</v>
      </c>
      <c r="J22" s="307" t="str">
        <f>IF($E22=$I22,"תקין",0)</f>
        <v>תקין</v>
      </c>
      <c r="K22" s="537">
        <f>IF($E22=$I22,0,$E22-$I22)</f>
        <v>0</v>
      </c>
      <c r="L22" s="308">
        <f>IF($E22=$I22,0,$P$22)</f>
        <v>0</v>
      </c>
      <c r="M22" s="555"/>
      <c r="N22" s="282"/>
      <c r="P22" s="42" t="s">
        <v>950</v>
      </c>
    </row>
    <row r="23" spans="1:16" ht="36" customHeight="1" x14ac:dyDescent="0.2">
      <c r="A23" s="477">
        <v>20</v>
      </c>
      <c r="B23" s="297" t="s">
        <v>919</v>
      </c>
      <c r="C23" s="297" t="s">
        <v>602</v>
      </c>
      <c r="D23" s="298">
        <f>$F$3</f>
        <v>2017</v>
      </c>
      <c r="E23" s="299">
        <f>'תמצית מאזן'!D20</f>
        <v>12428</v>
      </c>
      <c r="F23" s="303" t="s">
        <v>919</v>
      </c>
      <c r="G23" s="297" t="s">
        <v>620</v>
      </c>
      <c r="H23" s="450">
        <f>$F$3</f>
        <v>2017</v>
      </c>
      <c r="I23" s="299">
        <f>'תמצית מאזן'!D47</f>
        <v>0</v>
      </c>
      <c r="J23" s="307" t="str">
        <f>IF(OR(AND($E$23=0,$I$23&lt;&gt;0),AND($E$23&lt;&gt;0,$I$23=0),AND($E$23=0,$I$23=0)),$B$3,0)</f>
        <v>תקין</v>
      </c>
      <c r="K23" s="537"/>
      <c r="L23" s="308" t="str">
        <f>IF(AND(E23&lt;&gt;0,I23&lt;&gt;0),P23,"")</f>
        <v/>
      </c>
      <c r="M23" s="555"/>
      <c r="N23" s="282"/>
      <c r="P23" s="42" t="s">
        <v>951</v>
      </c>
    </row>
    <row r="24" spans="1:16" ht="36" customHeight="1" x14ac:dyDescent="0.2">
      <c r="A24" s="477">
        <v>21</v>
      </c>
      <c r="B24" s="297" t="s">
        <v>919</v>
      </c>
      <c r="C24" s="297" t="s">
        <v>602</v>
      </c>
      <c r="D24" s="298">
        <f>ShanaKodemet</f>
        <v>2016</v>
      </c>
      <c r="E24" s="299">
        <f>'תמצית מאזן'!F20</f>
        <v>12514</v>
      </c>
      <c r="F24" s="303" t="s">
        <v>919</v>
      </c>
      <c r="G24" s="297" t="s">
        <v>620</v>
      </c>
      <c r="H24" s="450">
        <f>ShanaKodemet</f>
        <v>2016</v>
      </c>
      <c r="I24" s="299">
        <f>'תמצית מאזן'!F47</f>
        <v>0</v>
      </c>
      <c r="J24" s="307" t="str">
        <f>IF(OR(AND($E$24=0,$I$24&lt;&gt;0),AND($E$24&lt;&gt;0,$I$24=0),AND($E$24=0,$I$24=0)),$B$3,0)</f>
        <v>תקין</v>
      </c>
      <c r="K24" s="537"/>
      <c r="L24" s="308" t="str">
        <f>IF(AND(E24&lt;&gt;0,I24&lt;&gt;0),P24,"")</f>
        <v/>
      </c>
      <c r="M24" s="555"/>
      <c r="N24" s="282"/>
      <c r="P24" s="42" t="s">
        <v>952</v>
      </c>
    </row>
    <row r="25" spans="1:16" ht="36" customHeight="1" x14ac:dyDescent="0.2">
      <c r="A25" s="477">
        <v>22</v>
      </c>
      <c r="B25" s="297" t="s">
        <v>919</v>
      </c>
      <c r="C25" s="297" t="s">
        <v>953</v>
      </c>
      <c r="D25" s="298">
        <f>$F$3</f>
        <v>2017</v>
      </c>
      <c r="E25" s="299">
        <f>'תמצית מאזן'!D82</f>
        <v>0</v>
      </c>
      <c r="F25" s="303" t="s">
        <v>919</v>
      </c>
      <c r="G25" s="297" t="s">
        <v>954</v>
      </c>
      <c r="H25" s="450">
        <f>$F$3</f>
        <v>2017</v>
      </c>
      <c r="I25" s="299">
        <f>'תמצית מאזן'!D36</f>
        <v>17106</v>
      </c>
      <c r="J25" s="307" t="str">
        <f>IF($E25&lt;$I25,$B$3,"")</f>
        <v>תקין</v>
      </c>
      <c r="K25" s="537" t="str">
        <f>IF($E25&lt;$I25,"",$E25-$I25)</f>
        <v/>
      </c>
      <c r="L25" s="308" t="str">
        <f>IF($E25&lt;$I25,"",$P$25)</f>
        <v/>
      </c>
      <c r="M25" s="555"/>
      <c r="N25" s="282"/>
      <c r="P25" s="42" t="s">
        <v>955</v>
      </c>
    </row>
    <row r="26" spans="1:16" ht="36" customHeight="1" x14ac:dyDescent="0.2">
      <c r="A26" s="477">
        <v>23</v>
      </c>
      <c r="B26" s="297" t="s">
        <v>919</v>
      </c>
      <c r="C26" s="297" t="s">
        <v>956</v>
      </c>
      <c r="D26" s="298">
        <f>$F$3</f>
        <v>2017</v>
      </c>
      <c r="E26" s="299">
        <f>'תמצית מאזן'!D63</f>
        <v>0</v>
      </c>
      <c r="F26" s="303" t="s">
        <v>932</v>
      </c>
      <c r="G26" s="297" t="s">
        <v>659</v>
      </c>
      <c r="H26" s="450">
        <f>$F$3</f>
        <v>2017</v>
      </c>
      <c r="I26" s="299">
        <f>'תקציב רגיל'!G28</f>
        <v>0</v>
      </c>
      <c r="J26" s="307" t="str">
        <f>IF($E26=$I26,$B$3,"")</f>
        <v>תקין</v>
      </c>
      <c r="K26" s="537" t="str">
        <f>IF($E26=$I26,"",$E26-$I26)</f>
        <v/>
      </c>
      <c r="L26" s="308" t="str">
        <f>IF($E26=$I26,"",$P$26)</f>
        <v/>
      </c>
      <c r="M26" s="555"/>
      <c r="N26" s="282"/>
      <c r="P26" s="42" t="s">
        <v>957</v>
      </c>
    </row>
    <row r="27" spans="1:16" ht="36" customHeight="1" x14ac:dyDescent="0.2">
      <c r="A27" s="477">
        <v>24</v>
      </c>
      <c r="B27" s="475" t="s">
        <v>919</v>
      </c>
      <c r="C27" s="475" t="s">
        <v>606</v>
      </c>
      <c r="D27" s="298">
        <f>ShanaKodemet</f>
        <v>2016</v>
      </c>
      <c r="E27" s="299">
        <f>'תמצית מאזן'!F23</f>
        <v>0</v>
      </c>
      <c r="F27" s="476" t="s">
        <v>919</v>
      </c>
      <c r="G27" s="475" t="s">
        <v>603</v>
      </c>
      <c r="H27" s="450">
        <f>$F$3</f>
        <v>2017</v>
      </c>
      <c r="I27" s="299">
        <f>'תמצית מאזן'!D21</f>
        <v>0</v>
      </c>
      <c r="J27" s="307" t="str">
        <f>IF(E27=I27,$B$3,"")</f>
        <v>תקין</v>
      </c>
      <c r="K27" s="537" t="str">
        <f>IF(E27=I27,"",E27-I27)</f>
        <v/>
      </c>
      <c r="L27" s="308" t="str">
        <f>IF(E27=I27,"",P27)</f>
        <v/>
      </c>
      <c r="M27" s="555"/>
      <c r="N27" s="282"/>
      <c r="P27" s="58" t="s">
        <v>477</v>
      </c>
    </row>
    <row r="28" spans="1:16" x14ac:dyDescent="0.2">
      <c r="A28" s="478"/>
      <c r="B28" s="624" t="s">
        <v>958</v>
      </c>
      <c r="C28" s="624"/>
      <c r="D28" s="624"/>
      <c r="E28" s="624"/>
      <c r="F28" s="624"/>
      <c r="G28" s="624"/>
      <c r="H28" s="624"/>
      <c r="I28" s="624"/>
      <c r="J28" s="45"/>
      <c r="K28" s="539"/>
      <c r="L28" s="45"/>
      <c r="M28" s="45"/>
      <c r="N28" s="282"/>
    </row>
    <row r="29" spans="1:16" x14ac:dyDescent="0.2">
      <c r="A29" s="479">
        <v>25</v>
      </c>
      <c r="B29" s="310" t="s">
        <v>932</v>
      </c>
      <c r="C29" s="310" t="s">
        <v>959</v>
      </c>
      <c r="D29" s="298">
        <f>$F$3</f>
        <v>2017</v>
      </c>
      <c r="E29" s="311">
        <f>'תקציב רגיל'!C30</f>
        <v>156429</v>
      </c>
      <c r="F29" s="303" t="s">
        <v>932</v>
      </c>
      <c r="G29" s="297" t="s">
        <v>960</v>
      </c>
      <c r="H29" s="450">
        <f>$F$3</f>
        <v>2017</v>
      </c>
      <c r="I29" s="299">
        <f>'תקציב רגיל'!C55</f>
        <v>156429</v>
      </c>
      <c r="J29" s="312" t="str">
        <f>IF($E29=$I29,"תקין",0)</f>
        <v>תקין</v>
      </c>
      <c r="K29" s="540">
        <f>IF($E29=$I29,0,$E29-$I29)</f>
        <v>0</v>
      </c>
      <c r="L29" s="313">
        <f>IF($E29=$I29,0,$P$29)</f>
        <v>0</v>
      </c>
      <c r="M29" s="556"/>
      <c r="N29" s="282"/>
      <c r="P29" s="42" t="s">
        <v>961</v>
      </c>
    </row>
    <row r="30" spans="1:16" x14ac:dyDescent="0.2">
      <c r="A30" s="479">
        <v>26</v>
      </c>
      <c r="B30" s="310" t="s">
        <v>932</v>
      </c>
      <c r="C30" s="310" t="s">
        <v>682</v>
      </c>
      <c r="D30" s="298">
        <f>$F$3</f>
        <v>2017</v>
      </c>
      <c r="E30" s="311">
        <f>'תקציב רגיל'!C55</f>
        <v>156429</v>
      </c>
      <c r="F30" s="303"/>
      <c r="G30" s="297"/>
      <c r="H30" s="450"/>
      <c r="I30" s="299"/>
      <c r="J30" s="307" t="str">
        <f>IF($E30&gt;0,$B$3,0)</f>
        <v>תקין</v>
      </c>
      <c r="K30" s="541">
        <f>IF($E30&lt;=0,E30-I30,0)</f>
        <v>0</v>
      </c>
      <c r="L30" s="314">
        <f>IF($E30&lt;=0,$P30,0)</f>
        <v>0</v>
      </c>
      <c r="M30" s="557"/>
      <c r="N30" s="282"/>
      <c r="P30" s="42" t="s">
        <v>962</v>
      </c>
    </row>
    <row r="31" spans="1:16" x14ac:dyDescent="0.2">
      <c r="A31" s="479">
        <v>27</v>
      </c>
      <c r="B31" s="310" t="s">
        <v>932</v>
      </c>
      <c r="C31" s="310" t="s">
        <v>661</v>
      </c>
      <c r="D31" s="298">
        <f>$F$3</f>
        <v>2017</v>
      </c>
      <c r="E31" s="311">
        <f>'תקציב רגיל'!C30</f>
        <v>156429</v>
      </c>
      <c r="F31" s="303"/>
      <c r="G31" s="297"/>
      <c r="H31" s="450"/>
      <c r="I31" s="299"/>
      <c r="J31" s="307" t="str">
        <f>IF($E31&gt;0,$B$3,0)</f>
        <v>תקין</v>
      </c>
      <c r="K31" s="541">
        <f>IF($E31&lt;=0,E31-I31,0)</f>
        <v>0</v>
      </c>
      <c r="L31" s="314">
        <f>IF($E31&lt;=0,$P31,0)</f>
        <v>0</v>
      </c>
      <c r="M31" s="557"/>
      <c r="N31" s="306"/>
      <c r="P31" s="42" t="s">
        <v>963</v>
      </c>
    </row>
    <row r="32" spans="1:16" x14ac:dyDescent="0.2">
      <c r="A32" s="479">
        <v>28</v>
      </c>
      <c r="B32" s="310" t="s">
        <v>932</v>
      </c>
      <c r="C32" s="310" t="s">
        <v>964</v>
      </c>
      <c r="D32" s="298">
        <f>$F$3</f>
        <v>2017</v>
      </c>
      <c r="E32" s="299">
        <f>'תקציב רגיל'!$G$11</f>
        <v>12630</v>
      </c>
      <c r="F32" s="303" t="s">
        <v>965</v>
      </c>
      <c r="G32" s="315" t="s">
        <v>786</v>
      </c>
      <c r="H32" s="451">
        <f>$F$3</f>
        <v>2017</v>
      </c>
      <c r="I32" s="317">
        <f>'גבייה וחייבים'!C25</f>
        <v>12220</v>
      </c>
      <c r="J32" s="318"/>
      <c r="K32" s="542"/>
      <c r="L32" s="319"/>
      <c r="M32" s="320"/>
      <c r="N32" s="282"/>
    </row>
    <row r="33" spans="1:16" ht="13.5" customHeight="1" x14ac:dyDescent="0.2">
      <c r="A33" s="479"/>
      <c r="B33" s="310"/>
      <c r="C33" s="310"/>
      <c r="D33" s="298"/>
      <c r="E33" s="299"/>
      <c r="F33" s="303" t="s">
        <v>965</v>
      </c>
      <c r="G33" s="315" t="s">
        <v>784</v>
      </c>
      <c r="H33" s="451">
        <f>$F$3</f>
        <v>2017</v>
      </c>
      <c r="I33" s="321">
        <f>'גבייה וחייבים'!C16</f>
        <v>410</v>
      </c>
      <c r="J33" s="318"/>
      <c r="K33" s="542"/>
      <c r="L33" s="319"/>
      <c r="M33" s="322"/>
      <c r="N33" s="282"/>
    </row>
    <row r="34" spans="1:16" ht="22.5" customHeight="1" x14ac:dyDescent="0.2">
      <c r="A34" s="479"/>
      <c r="B34" s="310"/>
      <c r="C34" s="310"/>
      <c r="D34" s="298"/>
      <c r="E34" s="299"/>
      <c r="F34" s="303"/>
      <c r="G34" s="315" t="s">
        <v>766</v>
      </c>
      <c r="H34" s="451">
        <f>$F$3</f>
        <v>2017</v>
      </c>
      <c r="I34" s="323">
        <f>I32+I33</f>
        <v>12630</v>
      </c>
      <c r="J34" s="307" t="str">
        <f>IF(OR(J3=2,J3=4),IF(E32=I34,$B$3,0),0)</f>
        <v>תקין</v>
      </c>
      <c r="K34" s="543" t="str">
        <f>IF(OR(J3=2,J3=4),IF(E32=I34,"",I34-E32),"")</f>
        <v/>
      </c>
      <c r="L34" s="308" t="str">
        <f>IF(OR(J3=2,J3=4),IF(E32=I34,"",P34),"")</f>
        <v/>
      </c>
      <c r="M34" s="557"/>
      <c r="N34" s="282"/>
      <c r="P34" s="42" t="s">
        <v>966</v>
      </c>
    </row>
    <row r="35" spans="1:16" x14ac:dyDescent="0.2">
      <c r="A35" s="480">
        <v>29</v>
      </c>
      <c r="B35" s="324" t="s">
        <v>932</v>
      </c>
      <c r="C35" s="324" t="s">
        <v>967</v>
      </c>
      <c r="D35" s="316">
        <f>$F$3</f>
        <v>2017</v>
      </c>
      <c r="E35" s="317">
        <f>'תקציב רגיל'!$G$12</f>
        <v>228</v>
      </c>
      <c r="F35" s="303" t="s">
        <v>965</v>
      </c>
      <c r="G35" s="315" t="s">
        <v>786</v>
      </c>
      <c r="H35" s="451">
        <f>$F$3</f>
        <v>2017</v>
      </c>
      <c r="I35" s="317">
        <f>'גבייה וחייבים'!I25</f>
        <v>189</v>
      </c>
      <c r="J35" s="325"/>
      <c r="K35" s="544"/>
      <c r="L35" s="326"/>
      <c r="M35" s="327"/>
      <c r="N35" s="282"/>
    </row>
    <row r="36" spans="1:16" x14ac:dyDescent="0.2">
      <c r="A36" s="480"/>
      <c r="B36" s="324"/>
      <c r="C36" s="324"/>
      <c r="D36" s="316"/>
      <c r="E36" s="317"/>
      <c r="F36" s="303" t="s">
        <v>965</v>
      </c>
      <c r="G36" s="315" t="s">
        <v>784</v>
      </c>
      <c r="H36" s="451">
        <f>$F$3</f>
        <v>2017</v>
      </c>
      <c r="I36" s="328">
        <f>'גבייה וחייבים'!I16</f>
        <v>38.5</v>
      </c>
      <c r="J36" s="325"/>
      <c r="K36" s="544"/>
      <c r="L36" s="326"/>
      <c r="M36" s="329"/>
      <c r="N36" s="282"/>
    </row>
    <row r="37" spans="1:16" x14ac:dyDescent="0.2">
      <c r="A37" s="480"/>
      <c r="B37" s="324"/>
      <c r="C37" s="324"/>
      <c r="D37" s="316"/>
      <c r="E37" s="317"/>
      <c r="F37" s="303"/>
      <c r="G37" s="315" t="s">
        <v>766</v>
      </c>
      <c r="H37" s="451"/>
      <c r="I37" s="323">
        <f>SUM(I35:I36)</f>
        <v>227.5</v>
      </c>
      <c r="J37" s="307">
        <f>IF(OR(J3=2,J3=4),IF(E35=I37,$B$3,0),0)</f>
        <v>0</v>
      </c>
      <c r="K37" s="537">
        <f>IF(OR(J3=2,J3=4),IF(E35=I37,0,I37-E35),0)</f>
        <v>-0.5</v>
      </c>
      <c r="L37" s="314" t="str">
        <f>IF(OR(J3=2,J3=4),IF(E35=I37,0,P37),0)</f>
        <v>הכנסות מפעל המים בטופס 2 שונות מהרישום בטופס 5</v>
      </c>
      <c r="M37" s="557"/>
      <c r="N37" s="282"/>
      <c r="P37" s="42" t="s">
        <v>968</v>
      </c>
    </row>
    <row r="38" spans="1:16" x14ac:dyDescent="0.2">
      <c r="A38" s="480">
        <v>30</v>
      </c>
      <c r="B38" s="324" t="s">
        <v>919</v>
      </c>
      <c r="C38" s="324" t="s">
        <v>969</v>
      </c>
      <c r="D38" s="330">
        <f>$F$3</f>
        <v>2017</v>
      </c>
      <c r="E38" s="317">
        <f>'תמצית מאזן'!D65</f>
        <v>0</v>
      </c>
      <c r="F38" s="303" t="s">
        <v>965</v>
      </c>
      <c r="G38" s="315" t="s">
        <v>786</v>
      </c>
      <c r="H38" s="451">
        <f>$F$3</f>
        <v>2017</v>
      </c>
      <c r="I38" s="317">
        <f>'גבייה וחייבים'!C25</f>
        <v>12220</v>
      </c>
      <c r="J38" s="325"/>
      <c r="K38" s="544"/>
      <c r="L38" s="326"/>
      <c r="M38" s="327"/>
      <c r="N38" s="282"/>
    </row>
    <row r="39" spans="1:16" x14ac:dyDescent="0.2">
      <c r="A39" s="480"/>
      <c r="B39" s="324" t="s">
        <v>919</v>
      </c>
      <c r="C39" s="324" t="s">
        <v>970</v>
      </c>
      <c r="D39" s="330">
        <f>$F$3</f>
        <v>2017</v>
      </c>
      <c r="E39" s="317">
        <f>'תמצית מאזן'!D71</f>
        <v>0</v>
      </c>
      <c r="F39" s="303" t="s">
        <v>965</v>
      </c>
      <c r="G39" s="315" t="s">
        <v>784</v>
      </c>
      <c r="H39" s="451">
        <f>$F$3</f>
        <v>2017</v>
      </c>
      <c r="I39" s="317">
        <f>'גבייה וחייבים'!C16</f>
        <v>410</v>
      </c>
      <c r="J39" s="325"/>
      <c r="K39" s="544"/>
      <c r="L39" s="326"/>
      <c r="M39" s="327"/>
      <c r="N39" s="282"/>
    </row>
    <row r="40" spans="1:16" x14ac:dyDescent="0.2">
      <c r="A40" s="480"/>
      <c r="B40" s="324" t="s">
        <v>932</v>
      </c>
      <c r="C40" s="324" t="s">
        <v>964</v>
      </c>
      <c r="D40" s="330">
        <f>$F$3</f>
        <v>2017</v>
      </c>
      <c r="E40" s="317">
        <f>'תקציב רגיל'!G11</f>
        <v>12630</v>
      </c>
      <c r="F40" s="303" t="s">
        <v>965</v>
      </c>
      <c r="G40" s="315" t="s">
        <v>786</v>
      </c>
      <c r="H40" s="451">
        <f>$F$3</f>
        <v>2017</v>
      </c>
      <c r="I40" s="317">
        <f>'גבייה וחייבים'!I25</f>
        <v>189</v>
      </c>
      <c r="J40" s="325"/>
      <c r="K40" s="544"/>
      <c r="L40" s="326"/>
      <c r="M40" s="327"/>
      <c r="N40" s="282"/>
    </row>
    <row r="41" spans="1:16" x14ac:dyDescent="0.2">
      <c r="A41" s="480"/>
      <c r="B41" s="324" t="s">
        <v>932</v>
      </c>
      <c r="C41" s="324" t="s">
        <v>967</v>
      </c>
      <c r="D41" s="330">
        <f>$F$3</f>
        <v>2017</v>
      </c>
      <c r="E41" s="317">
        <f>'תקציב רגיל'!G12</f>
        <v>228</v>
      </c>
      <c r="F41" s="303" t="s">
        <v>965</v>
      </c>
      <c r="G41" s="315" t="s">
        <v>784</v>
      </c>
      <c r="H41" s="451">
        <f>$F$3</f>
        <v>2017</v>
      </c>
      <c r="I41" s="317">
        <f>'גבייה וחייבים'!I16</f>
        <v>38.5</v>
      </c>
      <c r="J41" s="325"/>
      <c r="K41" s="544"/>
      <c r="L41" s="326"/>
      <c r="M41" s="327"/>
      <c r="N41" s="282"/>
    </row>
    <row r="42" spans="1:16" ht="25.5" x14ac:dyDescent="0.2">
      <c r="A42" s="480"/>
      <c r="B42" s="324"/>
      <c r="C42" s="324" t="s">
        <v>766</v>
      </c>
      <c r="D42" s="316"/>
      <c r="E42" s="323">
        <f>SUM(E38:E41)</f>
        <v>12858</v>
      </c>
      <c r="F42" s="303" t="s">
        <v>766</v>
      </c>
      <c r="G42" s="315"/>
      <c r="H42" s="451"/>
      <c r="I42" s="323">
        <f>SUM(I38:I41)</f>
        <v>12857.5</v>
      </c>
      <c r="J42" s="307">
        <f>IF(OR($J$3=2,$J$3=4),IF($E$42&gt;=$I$42*1.1,$B$3,0),0)</f>
        <v>0</v>
      </c>
      <c r="K42" s="537">
        <f>IF(OR($J$3=2,$J$3=4),IF($E$42&gt;=$I$42*1.1,0,E42-I42),0)</f>
        <v>0.5</v>
      </c>
      <c r="L42" s="314">
        <f>IF(OR($J$3=2,$J$3=4),IF($E$42&gt;=$I$42,0,$P$42),0)</f>
        <v>0</v>
      </c>
      <c r="M42" s="557" t="s">
        <v>991</v>
      </c>
      <c r="N42" s="282"/>
      <c r="P42" s="42" t="s">
        <v>971</v>
      </c>
    </row>
    <row r="43" spans="1:16" ht="33.75" customHeight="1" x14ac:dyDescent="0.2">
      <c r="A43" s="480">
        <v>31</v>
      </c>
      <c r="B43" s="324" t="s">
        <v>932</v>
      </c>
      <c r="C43" s="324" t="s">
        <v>972</v>
      </c>
      <c r="D43" s="316">
        <f>$F$3</f>
        <v>2017</v>
      </c>
      <c r="E43" s="317">
        <f>'תקציב רגיל'!G29</f>
        <v>1195</v>
      </c>
      <c r="F43" s="303" t="s">
        <v>932</v>
      </c>
      <c r="G43" s="315" t="s">
        <v>0</v>
      </c>
      <c r="H43" s="451">
        <f>$F$3</f>
        <v>2017</v>
      </c>
      <c r="I43" s="317">
        <f>'תקציב רגיל'!G54</f>
        <v>1195</v>
      </c>
      <c r="J43" s="331" t="str">
        <f>IF(E43&lt;I43,0,$B$3)</f>
        <v>תקין</v>
      </c>
      <c r="K43" s="540">
        <f>IF(E43&lt;I43,E43-I43,0)</f>
        <v>0</v>
      </c>
      <c r="L43" s="313">
        <f>IF(E43&lt;I43,P43,0)</f>
        <v>0</v>
      </c>
      <c r="M43" s="557"/>
      <c r="N43" s="282"/>
      <c r="P43" s="42" t="s">
        <v>9</v>
      </c>
    </row>
    <row r="44" spans="1:16" ht="25.5" customHeight="1" x14ac:dyDescent="0.2">
      <c r="A44" s="480">
        <v>32</v>
      </c>
      <c r="B44" s="324" t="s">
        <v>932</v>
      </c>
      <c r="C44" s="324" t="s">
        <v>972</v>
      </c>
      <c r="D44" s="316">
        <f>$F$3</f>
        <v>2017</v>
      </c>
      <c r="E44" s="317">
        <f>'תקציב רגיל'!G29</f>
        <v>1195</v>
      </c>
      <c r="F44" s="303" t="s">
        <v>965</v>
      </c>
      <c r="G44" s="473" t="s">
        <v>11</v>
      </c>
      <c r="H44" s="451">
        <f>$F$3</f>
        <v>2017</v>
      </c>
      <c r="I44" s="317">
        <f>'גבייה וחייבים'!C13</f>
        <v>-3.4</v>
      </c>
      <c r="J44" s="326"/>
      <c r="K44" s="544"/>
      <c r="L44" s="326"/>
      <c r="M44" s="61"/>
      <c r="N44" s="282"/>
    </row>
    <row r="45" spans="1:16" ht="15" customHeight="1" x14ac:dyDescent="0.2">
      <c r="A45" s="480"/>
      <c r="B45" s="324"/>
      <c r="C45" s="324"/>
      <c r="D45" s="316"/>
      <c r="E45" s="317"/>
      <c r="F45" s="303" t="s">
        <v>965</v>
      </c>
      <c r="G45" s="473" t="s">
        <v>10</v>
      </c>
      <c r="H45" s="451">
        <f>$F$3</f>
        <v>2017</v>
      </c>
      <c r="I45" s="317">
        <f>'גבייה וחייבים'!C21</f>
        <v>-1192</v>
      </c>
      <c r="J45" s="325"/>
      <c r="K45" s="544"/>
      <c r="L45" s="326"/>
      <c r="M45" s="327"/>
      <c r="N45" s="282"/>
    </row>
    <row r="46" spans="1:16" ht="12" customHeight="1" x14ac:dyDescent="0.2">
      <c r="A46" s="480"/>
      <c r="B46" s="324"/>
      <c r="C46" s="324"/>
      <c r="D46" s="316"/>
      <c r="E46" s="317"/>
      <c r="F46" s="303"/>
      <c r="G46" s="315" t="s">
        <v>766</v>
      </c>
      <c r="H46" s="451"/>
      <c r="I46" s="323">
        <f>SUM(I44:I45)</f>
        <v>-1195.4000000000001</v>
      </c>
      <c r="J46" s="307" t="str">
        <f>IF(ABS(E44)&lt;=ABS(I46),$B$3,"")</f>
        <v>תקין</v>
      </c>
      <c r="K46" s="537" t="str">
        <f>IF(ABS(E44)&lt;=ABS(I46),"",ABS(E44)-ABS(I46))</f>
        <v/>
      </c>
      <c r="L46" s="314" t="str">
        <f>IF(ABS(E44)&lt;=ABS(I46),"",$P$46)</f>
        <v/>
      </c>
      <c r="M46" s="557"/>
      <c r="N46" s="282"/>
      <c r="P46" s="42" t="s">
        <v>12</v>
      </c>
    </row>
    <row r="47" spans="1:16" x14ac:dyDescent="0.2">
      <c r="A47" s="480">
        <v>33</v>
      </c>
      <c r="B47" s="324" t="s">
        <v>13</v>
      </c>
      <c r="C47" s="324" t="s">
        <v>14</v>
      </c>
      <c r="D47" s="316">
        <f>$F$3</f>
        <v>2017</v>
      </c>
      <c r="E47" s="317">
        <f>'שכר ומשרות'!L43</f>
        <v>14440</v>
      </c>
      <c r="F47" s="303" t="s">
        <v>932</v>
      </c>
      <c r="G47" s="315" t="s">
        <v>663</v>
      </c>
      <c r="H47" s="451">
        <f>$F$3</f>
        <v>2017</v>
      </c>
      <c r="I47" s="317">
        <f>'תקציב רגיל'!G32</f>
        <v>6187</v>
      </c>
      <c r="J47" s="325"/>
      <c r="K47" s="544"/>
      <c r="L47" s="326"/>
      <c r="M47" s="327"/>
      <c r="N47" s="282"/>
    </row>
    <row r="48" spans="1:16" ht="25.5" customHeight="1" x14ac:dyDescent="0.2">
      <c r="A48" s="480"/>
      <c r="B48" s="324"/>
      <c r="C48" s="324"/>
      <c r="D48" s="316"/>
      <c r="E48" s="317"/>
      <c r="F48" s="303"/>
      <c r="G48" s="315" t="s">
        <v>667</v>
      </c>
      <c r="H48" s="451">
        <f>$F$3</f>
        <v>2017</v>
      </c>
      <c r="I48" s="317">
        <f>'תקציב רגיל'!G37</f>
        <v>7950</v>
      </c>
      <c r="J48" s="325"/>
      <c r="K48" s="544"/>
      <c r="L48" s="326"/>
      <c r="M48" s="327"/>
      <c r="N48" s="282"/>
    </row>
    <row r="49" spans="1:18" ht="25.5" customHeight="1" x14ac:dyDescent="0.2">
      <c r="A49" s="481"/>
      <c r="B49" s="332"/>
      <c r="C49" s="332"/>
      <c r="D49" s="316"/>
      <c r="E49" s="317"/>
      <c r="F49" s="333"/>
      <c r="G49" s="334" t="s">
        <v>670</v>
      </c>
      <c r="H49" s="451">
        <f>$F$3</f>
        <v>2017</v>
      </c>
      <c r="I49" s="321">
        <f>'תקציב רגיל'!G40</f>
        <v>531</v>
      </c>
      <c r="J49" s="335"/>
      <c r="K49" s="545"/>
      <c r="L49" s="336"/>
      <c r="M49" s="329"/>
      <c r="N49" s="282"/>
    </row>
    <row r="50" spans="1:18" ht="35.25" customHeight="1" x14ac:dyDescent="0.2">
      <c r="A50" s="481"/>
      <c r="B50" s="332"/>
      <c r="C50" s="332"/>
      <c r="D50" s="337"/>
      <c r="E50" s="317"/>
      <c r="F50" s="333"/>
      <c r="G50" s="315" t="s">
        <v>766</v>
      </c>
      <c r="H50" s="451"/>
      <c r="I50" s="323">
        <f>SUM(I47:I49)</f>
        <v>14668</v>
      </c>
      <c r="J50" s="338" t="str">
        <f>IF(AND($E$47&gt;=$I$50*0.9,$E$47&lt;=$I$50*1.1),$B$3,0)</f>
        <v>תקין</v>
      </c>
      <c r="K50" s="546" t="str">
        <f>IF(AND($E$47&gt;=$I$50*0.9,$E$47&lt;=$I$50*1.1),"",$E$47-$I$50)</f>
        <v/>
      </c>
      <c r="L50" s="340" t="str">
        <f>IF(AND($E$47&gt;=$I$50*0.9,$E$47&lt;=$I$50*1.1),"",$P$50)</f>
        <v/>
      </c>
      <c r="M50" s="558"/>
      <c r="N50" s="282"/>
      <c r="P50" s="42" t="s">
        <v>15</v>
      </c>
    </row>
    <row r="51" spans="1:18" ht="25.5" customHeight="1" x14ac:dyDescent="0.2">
      <c r="A51" s="481">
        <v>34</v>
      </c>
      <c r="B51" s="332" t="s">
        <v>932</v>
      </c>
      <c r="C51" s="332" t="s">
        <v>674</v>
      </c>
      <c r="D51" s="316">
        <f t="shared" ref="D51:D56" si="0">$F$3</f>
        <v>2017</v>
      </c>
      <c r="E51" s="321">
        <f>'תקציב רגיל'!G45</f>
        <v>1085</v>
      </c>
      <c r="F51" s="333"/>
      <c r="G51" s="334"/>
      <c r="H51" s="445"/>
      <c r="I51" s="321"/>
      <c r="J51" s="338" t="str">
        <f>IF('תמצית מאזן'!$D$59&lt;&gt;'בדיקות הצלבה'!$I$3,IF('בדיקות הצלבה'!$E$51&gt;0,'בדיקות הצלבה'!$B$3,0),'בדיקות הצלבה'!$E$3)</f>
        <v>תקין</v>
      </c>
      <c r="K51" s="546">
        <f>IF('תמצית מאזן'!$D$59&lt;&gt;'בדיקות הצלבה'!$I$3,IF('בדיקות הצלבה'!$E$51&gt;0,0,0),'בדיקות הצלבה'!$E$3)</f>
        <v>0</v>
      </c>
      <c r="L51" s="340">
        <f>IF('תמצית מאזן'!$D$59&lt;&gt;'בדיקות הצלבה'!$I$3,IF('בדיקות הצלבה'!$E$51&gt;0,0,P51),'בדיקות הצלבה'!$E$3)</f>
        <v>0</v>
      </c>
      <c r="M51" s="558"/>
      <c r="N51" s="282"/>
      <c r="P51" s="42" t="s">
        <v>16</v>
      </c>
    </row>
    <row r="52" spans="1:18" ht="25.5" customHeight="1" x14ac:dyDescent="0.2">
      <c r="A52" s="481">
        <v>35</v>
      </c>
      <c r="B52" s="332" t="s">
        <v>932</v>
      </c>
      <c r="C52" s="332" t="s">
        <v>675</v>
      </c>
      <c r="D52" s="316">
        <f t="shared" si="0"/>
        <v>2017</v>
      </c>
      <c r="E52" s="321">
        <f>'תקציב רגיל'!G46</f>
        <v>1140</v>
      </c>
      <c r="F52" s="333"/>
      <c r="G52" s="334"/>
      <c r="H52" s="445"/>
      <c r="I52" s="321"/>
      <c r="J52" s="338" t="str">
        <f>IF('תמצית מאזן'!$D$59&lt;&gt;'בדיקות הצלבה'!$I$3,IF('בדיקות הצלבה'!$E$52&gt;0,'בדיקות הצלבה'!$B$3,0),'בדיקות הצלבה'!$E$3)</f>
        <v>תקין</v>
      </c>
      <c r="K52" s="546">
        <f>IF('תמצית מאזן'!$D$59&lt;&gt;'בדיקות הצלבה'!$I$3,IF('בדיקות הצלבה'!$E$52&gt;0,0,0),'בדיקות הצלבה'!$E$3)</f>
        <v>0</v>
      </c>
      <c r="L52" s="340">
        <f>IF('תמצית מאזן'!$D$59&lt;&gt;'בדיקות הצלבה'!$I$3,IF('בדיקות הצלבה'!$E$52&gt;0,0,P52),'בדיקות הצלבה'!$E$3)</f>
        <v>0</v>
      </c>
      <c r="M52" s="558"/>
      <c r="N52" s="282"/>
      <c r="P52" s="42" t="s">
        <v>17</v>
      </c>
    </row>
    <row r="53" spans="1:18" s="309" customFormat="1" ht="26.25" customHeight="1" x14ac:dyDescent="0.2">
      <c r="A53" s="481">
        <v>36</v>
      </c>
      <c r="B53" s="332" t="s">
        <v>932</v>
      </c>
      <c r="C53" s="332" t="s">
        <v>659</v>
      </c>
      <c r="D53" s="341">
        <f t="shared" si="0"/>
        <v>2017</v>
      </c>
      <c r="E53" s="321">
        <f>'תקציב רגיל'!G28</f>
        <v>0</v>
      </c>
      <c r="F53" s="333" t="s">
        <v>932</v>
      </c>
      <c r="G53" s="334" t="s">
        <v>680</v>
      </c>
      <c r="H53" s="446">
        <f>$F$3</f>
        <v>2017</v>
      </c>
      <c r="I53" s="321">
        <f>'תקציב רגיל'!G53</f>
        <v>0</v>
      </c>
      <c r="J53" s="338" t="str">
        <f>IF(E53&lt;=I53,$B$3,"")</f>
        <v>תקין</v>
      </c>
      <c r="K53" s="547" t="str">
        <f>IF($E$53&lt;=$I$53,"",$E$53-$I$53)</f>
        <v/>
      </c>
      <c r="L53" s="444" t="str">
        <f>IF($E$53&lt;=$I$53,"",$P$53)</f>
        <v/>
      </c>
      <c r="M53" s="559"/>
      <c r="N53" s="282"/>
      <c r="O53" s="342"/>
      <c r="P53" s="342" t="s">
        <v>18</v>
      </c>
      <c r="Q53" s="342"/>
      <c r="R53" s="342"/>
    </row>
    <row r="54" spans="1:18" s="309" customFormat="1" ht="26.25" customHeight="1" x14ac:dyDescent="0.2">
      <c r="A54" s="481">
        <v>37</v>
      </c>
      <c r="B54" s="332" t="s">
        <v>932</v>
      </c>
      <c r="C54" s="332" t="s">
        <v>479</v>
      </c>
      <c r="D54" s="341">
        <f t="shared" si="0"/>
        <v>2017</v>
      </c>
      <c r="E54" s="461">
        <f>'תקציב רגיל'!G32</f>
        <v>6187</v>
      </c>
      <c r="F54" s="333" t="s">
        <v>13</v>
      </c>
      <c r="G54" s="334" t="s">
        <v>480</v>
      </c>
      <c r="H54" s="445">
        <f>$F$3</f>
        <v>2017</v>
      </c>
      <c r="I54" s="321">
        <f>'שכר ומשרות'!L43-'שכר ומשרות'!L36-'שכר ומשרות'!L27-'שכר ומשרות'!L24</f>
        <v>5544</v>
      </c>
      <c r="J54" s="338" t="str">
        <f>IF(E54&lt;=I54,$B$3,"")</f>
        <v/>
      </c>
      <c r="K54" s="546">
        <f>IF($E$54&lt;=$I$54,"",$E$54-$I$54)</f>
        <v>643</v>
      </c>
      <c r="L54" s="340" t="str">
        <f>IF($E$54&lt;=$I$54,"",$P$54)</f>
        <v>ביצוע השכר הכללי בתקציב הרגיל שונה מהביצוע בפועל שדווח בטבלת שכר ומשרות</v>
      </c>
      <c r="M54" s="557" t="s">
        <v>992</v>
      </c>
      <c r="N54" s="282"/>
      <c r="O54" s="342"/>
      <c r="P54" s="342" t="s">
        <v>481</v>
      </c>
      <c r="Q54" s="342"/>
      <c r="R54" s="342"/>
    </row>
    <row r="55" spans="1:18" s="309" customFormat="1" ht="26.25" customHeight="1" x14ac:dyDescent="0.2">
      <c r="A55" s="481">
        <v>38</v>
      </c>
      <c r="B55" s="460" t="s">
        <v>932</v>
      </c>
      <c r="C55" s="460" t="s">
        <v>667</v>
      </c>
      <c r="D55" s="341">
        <f t="shared" si="0"/>
        <v>2017</v>
      </c>
      <c r="E55" s="461">
        <f>'תקציב רגיל'!G37</f>
        <v>7950</v>
      </c>
      <c r="F55" s="443" t="s">
        <v>13</v>
      </c>
      <c r="G55" s="462" t="s">
        <v>482</v>
      </c>
      <c r="H55" s="445">
        <f>$F$3</f>
        <v>2017</v>
      </c>
      <c r="I55" s="321">
        <f>'שכר ומשרות'!L24</f>
        <v>7847</v>
      </c>
      <c r="J55" s="338" t="str">
        <f>IF(E55&lt;=I55,$B$3,"")</f>
        <v/>
      </c>
      <c r="K55" s="546">
        <f>IF($E$55&lt;=$I$55,"",$E$55-$I$55)</f>
        <v>103</v>
      </c>
      <c r="L55" s="340" t="str">
        <f>IF($E$55&lt;=$I$55,"",$P$55)</f>
        <v>ביצוע שכר חינוך בתקציב הרגיל שונה מהביצוע בפועל שדווח בטבלת שכר ומשרות</v>
      </c>
      <c r="M55" s="557" t="s">
        <v>992</v>
      </c>
      <c r="N55" s="282"/>
      <c r="O55" s="342"/>
      <c r="P55" s="463" t="s">
        <v>483</v>
      </c>
      <c r="Q55" s="342"/>
      <c r="R55" s="342"/>
    </row>
    <row r="56" spans="1:18" s="309" customFormat="1" ht="26.25" customHeight="1" x14ac:dyDescent="0.2">
      <c r="A56" s="481">
        <v>39</v>
      </c>
      <c r="B56" s="460" t="s">
        <v>932</v>
      </c>
      <c r="C56" s="460" t="s">
        <v>670</v>
      </c>
      <c r="D56" s="341">
        <f t="shared" si="0"/>
        <v>2017</v>
      </c>
      <c r="E56" s="461">
        <f>'תקציב רגיל'!G40</f>
        <v>531</v>
      </c>
      <c r="F56" s="443" t="s">
        <v>13</v>
      </c>
      <c r="G56" s="462" t="s">
        <v>484</v>
      </c>
      <c r="H56" s="445">
        <f>$F$3</f>
        <v>2017</v>
      </c>
      <c r="I56" s="321">
        <f>'שכר ומשרות'!L27</f>
        <v>511</v>
      </c>
      <c r="J56" s="338" t="str">
        <f>IF(E56&lt;=I56,$B$3,"")</f>
        <v/>
      </c>
      <c r="K56" s="546">
        <f>IF($E$56&lt;=$I$56,"",$E$56-$I$56)</f>
        <v>20</v>
      </c>
      <c r="L56" s="340" t="str">
        <f>IF($E$56&lt;=$I$56,"",$P$56)</f>
        <v>ביצוע שכר רווחה בתקציב הרגיל שונה מהביצוע בפועל שדווח בטבלת שכר ומשרות</v>
      </c>
      <c r="M56" s="559"/>
      <c r="N56" s="282"/>
      <c r="O56" s="342"/>
      <c r="P56" s="463" t="s">
        <v>485</v>
      </c>
      <c r="Q56" s="342"/>
      <c r="R56" s="342"/>
    </row>
    <row r="57" spans="1:18" s="309" customFormat="1" ht="26.25" customHeight="1" x14ac:dyDescent="0.2">
      <c r="A57" s="481"/>
      <c r="B57" s="332"/>
      <c r="C57" s="332"/>
      <c r="D57" s="341"/>
      <c r="E57" s="459"/>
      <c r="F57" s="333"/>
      <c r="G57" s="334"/>
      <c r="H57" s="445"/>
      <c r="I57" s="321"/>
      <c r="J57" s="338"/>
      <c r="K57" s="547"/>
      <c r="L57" s="444"/>
      <c r="M57" s="559"/>
      <c r="N57" s="282"/>
      <c r="O57" s="342"/>
      <c r="P57" s="342"/>
      <c r="Q57" s="342"/>
      <c r="R57" s="342"/>
    </row>
    <row r="58" spans="1:18" ht="15.75" x14ac:dyDescent="0.2">
      <c r="A58" s="343"/>
      <c r="B58" s="625" t="s">
        <v>19</v>
      </c>
      <c r="C58" s="625"/>
      <c r="D58" s="625"/>
      <c r="E58" s="625"/>
      <c r="F58" s="625"/>
      <c r="G58" s="625"/>
      <c r="H58" s="625"/>
      <c r="I58" s="625"/>
      <c r="J58" s="344"/>
      <c r="K58" s="548"/>
      <c r="L58" s="344"/>
      <c r="M58" s="45"/>
      <c r="N58" s="282"/>
    </row>
    <row r="59" spans="1:18" ht="27" customHeight="1" x14ac:dyDescent="0.2">
      <c r="A59" s="482">
        <v>40</v>
      </c>
      <c r="B59" s="345" t="s">
        <v>20</v>
      </c>
      <c r="C59" s="345" t="s">
        <v>21</v>
      </c>
      <c r="D59" s="346">
        <f>$F$3</f>
        <v>2017</v>
      </c>
      <c r="E59" s="347">
        <f>תברים!D$41</f>
        <v>-9651</v>
      </c>
      <c r="F59" s="300"/>
      <c r="G59" s="348"/>
      <c r="H59" s="452"/>
      <c r="I59" s="560"/>
      <c r="J59" s="561" t="str">
        <f>IF($E$59&lt;&gt;0,$B$3,"")</f>
        <v>תקין</v>
      </c>
      <c r="K59" s="562" t="str">
        <f>IF($E$59=0,"","")</f>
        <v/>
      </c>
      <c r="L59" s="563" t="str">
        <f>IF($E$59=0,P59,"")</f>
        <v/>
      </c>
      <c r="M59" s="564"/>
      <c r="N59" s="282"/>
      <c r="P59" s="42" t="s">
        <v>22</v>
      </c>
    </row>
    <row r="60" spans="1:18" ht="27" customHeight="1" x14ac:dyDescent="0.2">
      <c r="A60" s="483">
        <v>41</v>
      </c>
      <c r="B60" s="349" t="s">
        <v>20</v>
      </c>
      <c r="C60" s="349" t="s">
        <v>21</v>
      </c>
      <c r="D60" s="316">
        <f>$G$3</f>
        <v>2016</v>
      </c>
      <c r="E60" s="317">
        <f>תברים!F$41</f>
        <v>-2766</v>
      </c>
      <c r="F60" s="303"/>
      <c r="G60" s="315"/>
      <c r="H60" s="451"/>
      <c r="I60" s="565"/>
      <c r="J60" s="566" t="str">
        <f>IF($E$60&lt;&gt;0,$B$3,"")</f>
        <v>תקין</v>
      </c>
      <c r="K60" s="567" t="str">
        <f>IF($E$60=0,"","")</f>
        <v/>
      </c>
      <c r="L60" s="568" t="str">
        <f>IF($E$60=0,P60,"")</f>
        <v/>
      </c>
      <c r="M60" s="564"/>
      <c r="N60" s="282"/>
      <c r="P60" s="42" t="s">
        <v>23</v>
      </c>
    </row>
    <row r="61" spans="1:18" ht="29.25" customHeight="1" x14ac:dyDescent="0.2">
      <c r="A61" s="483">
        <v>42</v>
      </c>
      <c r="B61" s="349" t="s">
        <v>20</v>
      </c>
      <c r="C61" s="349" t="s">
        <v>877</v>
      </c>
      <c r="D61" s="316">
        <f>$F$3</f>
        <v>2017</v>
      </c>
      <c r="E61" s="317">
        <f>תברים!D46</f>
        <v>6144</v>
      </c>
      <c r="F61" s="303" t="s">
        <v>20</v>
      </c>
      <c r="G61" s="315" t="s">
        <v>24</v>
      </c>
      <c r="H61" s="451">
        <f>$G$3</f>
        <v>2016</v>
      </c>
      <c r="I61" s="317">
        <f>תברים!F51</f>
        <v>6144</v>
      </c>
      <c r="J61" s="307" t="str">
        <f t="shared" ref="J61:J66" si="1">IF(E61=I61,$B$3,"")</f>
        <v>תקין</v>
      </c>
      <c r="K61" s="537" t="str">
        <f>IF($E$61=$I$61,"",$E$61-$I$61)</f>
        <v/>
      </c>
      <c r="L61" s="314" t="str">
        <f>IF($E$61=$I$61,"",P61)</f>
        <v/>
      </c>
      <c r="M61" s="557"/>
      <c r="N61" s="282"/>
      <c r="P61" s="42" t="s">
        <v>890</v>
      </c>
    </row>
    <row r="62" spans="1:18" ht="39.75" customHeight="1" x14ac:dyDescent="0.2">
      <c r="A62" s="483">
        <v>43</v>
      </c>
      <c r="B62" s="349" t="s">
        <v>20</v>
      </c>
      <c r="C62" s="349" t="s">
        <v>878</v>
      </c>
      <c r="D62" s="316">
        <f>$F$3</f>
        <v>2017</v>
      </c>
      <c r="E62" s="317">
        <f>תברים!D51</f>
        <v>-3507</v>
      </c>
      <c r="F62" s="303" t="s">
        <v>20</v>
      </c>
      <c r="G62" s="315" t="s">
        <v>878</v>
      </c>
      <c r="H62" s="451">
        <f>$F$3</f>
        <v>2017</v>
      </c>
      <c r="I62" s="317">
        <f>תברים!D55</f>
        <v>-3507</v>
      </c>
      <c r="J62" s="307" t="str">
        <f t="shared" si="1"/>
        <v>תקין</v>
      </c>
      <c r="K62" s="537" t="str">
        <f>IF($E$62=$I$62,"",$E$62-$I$62)</f>
        <v/>
      </c>
      <c r="L62" s="314" t="str">
        <f>IF($E$62=$I$62,"",P62)</f>
        <v/>
      </c>
      <c r="M62" s="557"/>
      <c r="N62" s="282"/>
      <c r="P62" s="42" t="s">
        <v>25</v>
      </c>
    </row>
    <row r="63" spans="1:18" ht="39.75" customHeight="1" x14ac:dyDescent="0.2">
      <c r="A63" s="483">
        <v>44</v>
      </c>
      <c r="B63" s="349" t="s">
        <v>20</v>
      </c>
      <c r="C63" s="349" t="s">
        <v>878</v>
      </c>
      <c r="D63" s="316">
        <f>$G$3</f>
        <v>2016</v>
      </c>
      <c r="E63" s="317">
        <f>תברים!F51</f>
        <v>6144</v>
      </c>
      <c r="F63" s="350" t="s">
        <v>20</v>
      </c>
      <c r="G63" s="315" t="s">
        <v>878</v>
      </c>
      <c r="H63" s="451">
        <f>$G$3</f>
        <v>2016</v>
      </c>
      <c r="I63" s="317">
        <f>תברים!F55</f>
        <v>6144</v>
      </c>
      <c r="J63" s="307" t="str">
        <f t="shared" si="1"/>
        <v>תקין</v>
      </c>
      <c r="K63" s="537" t="str">
        <f>IF(E63=I63,"",E63-I63)</f>
        <v/>
      </c>
      <c r="L63" s="314" t="str">
        <f>IF(E63=I63,"",$P$63)</f>
        <v/>
      </c>
      <c r="M63" s="557"/>
      <c r="N63" s="282"/>
      <c r="P63" s="42" t="s">
        <v>26</v>
      </c>
    </row>
    <row r="64" spans="1:18" ht="39.75" customHeight="1" x14ac:dyDescent="0.2">
      <c r="A64" s="483">
        <v>45</v>
      </c>
      <c r="B64" s="349" t="s">
        <v>20</v>
      </c>
      <c r="C64" s="349" t="s">
        <v>878</v>
      </c>
      <c r="D64" s="316">
        <f>$F$3</f>
        <v>2017</v>
      </c>
      <c r="E64" s="317">
        <f>תברים!D55</f>
        <v>-3507</v>
      </c>
      <c r="F64" s="350" t="s">
        <v>20</v>
      </c>
      <c r="G64" s="315" t="s">
        <v>27</v>
      </c>
      <c r="H64" s="451">
        <f>$F$3</f>
        <v>2017</v>
      </c>
      <c r="I64" s="317">
        <f>'ריכוז תברים'!X37</f>
        <v>-3507</v>
      </c>
      <c r="J64" s="307" t="str">
        <f t="shared" si="1"/>
        <v>תקין</v>
      </c>
      <c r="K64" s="537" t="str">
        <f>IF(E64=I64,"",E64-I64)</f>
        <v/>
      </c>
      <c r="L64" s="314" t="str">
        <f>IF(E64=I64,"",$P$64)</f>
        <v/>
      </c>
      <c r="M64" s="557" t="s">
        <v>906</v>
      </c>
      <c r="N64" s="282"/>
      <c r="P64" s="42" t="s">
        <v>28</v>
      </c>
    </row>
    <row r="65" spans="1:16" ht="27" customHeight="1" x14ac:dyDescent="0.2">
      <c r="A65" s="483">
        <v>46</v>
      </c>
      <c r="B65" s="349" t="s">
        <v>20</v>
      </c>
      <c r="C65" s="349" t="s">
        <v>29</v>
      </c>
      <c r="D65" s="316">
        <f>$F$3</f>
        <v>2017</v>
      </c>
      <c r="E65" s="317">
        <f>תברים!D44</f>
        <v>99995</v>
      </c>
      <c r="F65" s="315" t="s">
        <v>20</v>
      </c>
      <c r="G65" s="315" t="s">
        <v>30</v>
      </c>
      <c r="H65" s="451">
        <f>$G$3</f>
        <v>2016</v>
      </c>
      <c r="I65" s="317">
        <f>תברים!F49</f>
        <v>99995</v>
      </c>
      <c r="J65" s="307" t="str">
        <f t="shared" si="1"/>
        <v>תקין</v>
      </c>
      <c r="K65" s="537" t="str">
        <f>IF(E65=I65,"",E65-I65)</f>
        <v/>
      </c>
      <c r="L65" s="314" t="str">
        <f>IF($E$65=$I$65,"",P65)</f>
        <v/>
      </c>
      <c r="M65" s="557"/>
      <c r="N65" s="282"/>
      <c r="P65" s="42" t="s">
        <v>31</v>
      </c>
    </row>
    <row r="66" spans="1:16" ht="27" customHeight="1" x14ac:dyDescent="0.2">
      <c r="A66" s="483">
        <v>47</v>
      </c>
      <c r="B66" s="349" t="s">
        <v>20</v>
      </c>
      <c r="C66" s="349" t="s">
        <v>32</v>
      </c>
      <c r="D66" s="316">
        <f>$F$3</f>
        <v>2017</v>
      </c>
      <c r="E66" s="317">
        <f>תברים!D45</f>
        <v>93851</v>
      </c>
      <c r="F66" s="315" t="s">
        <v>20</v>
      </c>
      <c r="G66" s="315" t="s">
        <v>33</v>
      </c>
      <c r="H66" s="451">
        <f>$G$3</f>
        <v>2016</v>
      </c>
      <c r="I66" s="317">
        <f>תברים!F50</f>
        <v>93851</v>
      </c>
      <c r="J66" s="307" t="str">
        <f t="shared" si="1"/>
        <v>תקין</v>
      </c>
      <c r="K66" s="537" t="str">
        <f>IF(E66=I66,"",E66-I66)</f>
        <v/>
      </c>
      <c r="L66" s="314" t="str">
        <f>IF($E$66=$I$66,"",P66)</f>
        <v/>
      </c>
      <c r="M66" s="557"/>
      <c r="N66" s="282"/>
      <c r="P66" s="42" t="s">
        <v>34</v>
      </c>
    </row>
    <row r="67" spans="1:16" ht="27" customHeight="1" x14ac:dyDescent="0.2">
      <c r="A67" s="483">
        <v>48</v>
      </c>
      <c r="B67" s="349" t="s">
        <v>20</v>
      </c>
      <c r="C67" s="349" t="s">
        <v>30</v>
      </c>
      <c r="D67" s="316">
        <f>$F$3</f>
        <v>2017</v>
      </c>
      <c r="E67" s="317">
        <f>תברים!D49</f>
        <v>107128</v>
      </c>
      <c r="F67" s="303" t="s">
        <v>20</v>
      </c>
      <c r="G67" s="315" t="s">
        <v>865</v>
      </c>
      <c r="H67" s="451">
        <f>$F$3</f>
        <v>2017</v>
      </c>
      <c r="I67" s="317">
        <f>תברים!D30</f>
        <v>7133</v>
      </c>
      <c r="J67" s="325"/>
      <c r="K67" s="544"/>
      <c r="L67" s="326"/>
      <c r="M67" s="327"/>
      <c r="N67" s="282"/>
    </row>
    <row r="68" spans="1:16" ht="27" customHeight="1" x14ac:dyDescent="0.2">
      <c r="A68" s="483"/>
      <c r="B68" s="349"/>
      <c r="C68" s="349"/>
      <c r="D68" s="316"/>
      <c r="E68" s="317"/>
      <c r="F68" s="303" t="s">
        <v>20</v>
      </c>
      <c r="G68" s="315" t="s">
        <v>29</v>
      </c>
      <c r="H68" s="451">
        <f>$F$3</f>
        <v>2017</v>
      </c>
      <c r="I68" s="317">
        <f>תברים!D44</f>
        <v>99995</v>
      </c>
      <c r="J68" s="325"/>
      <c r="K68" s="544"/>
      <c r="L68" s="326"/>
      <c r="M68" s="327"/>
      <c r="N68" s="282"/>
    </row>
    <row r="69" spans="1:16" ht="48.75" customHeight="1" x14ac:dyDescent="0.2">
      <c r="A69" s="483"/>
      <c r="B69" s="349"/>
      <c r="C69" s="349"/>
      <c r="D69" s="316"/>
      <c r="E69" s="317"/>
      <c r="F69" s="303" t="s">
        <v>20</v>
      </c>
      <c r="G69" s="315" t="s">
        <v>35</v>
      </c>
      <c r="H69" s="451">
        <f>$F$3</f>
        <v>2017</v>
      </c>
      <c r="I69" s="317">
        <f>תברים!D57</f>
        <v>0</v>
      </c>
      <c r="J69" s="325"/>
      <c r="K69" s="544"/>
      <c r="L69" s="326"/>
      <c r="M69" s="327"/>
      <c r="N69" s="282"/>
    </row>
    <row r="70" spans="1:16" ht="27" customHeight="1" x14ac:dyDescent="0.2">
      <c r="A70" s="483"/>
      <c r="B70" s="349"/>
      <c r="C70" s="349"/>
      <c r="D70" s="316"/>
      <c r="E70" s="317"/>
      <c r="F70" s="303"/>
      <c r="G70" s="315" t="s">
        <v>766</v>
      </c>
      <c r="H70" s="451"/>
      <c r="I70" s="323">
        <f>I67+I68-I69</f>
        <v>107128</v>
      </c>
      <c r="J70" s="307" t="str">
        <f>IF(E67=I70,$B$3,"")</f>
        <v>תקין</v>
      </c>
      <c r="K70" s="537" t="str">
        <f>IF(E67=I70,"",E67-I70)</f>
        <v/>
      </c>
      <c r="L70" s="314" t="str">
        <f>IF($E$67=$I$70,"",P70)</f>
        <v/>
      </c>
      <c r="M70" s="557"/>
      <c r="N70" s="282"/>
      <c r="P70" s="42" t="s">
        <v>36</v>
      </c>
    </row>
    <row r="71" spans="1:16" ht="27" customHeight="1" x14ac:dyDescent="0.2">
      <c r="A71" s="483">
        <v>49</v>
      </c>
      <c r="B71" s="349" t="s">
        <v>20</v>
      </c>
      <c r="C71" s="349" t="s">
        <v>33</v>
      </c>
      <c r="D71" s="316">
        <f>$F$3</f>
        <v>2017</v>
      </c>
      <c r="E71" s="317">
        <f>תברים!D50</f>
        <v>110635</v>
      </c>
      <c r="F71" s="303" t="s">
        <v>20</v>
      </c>
      <c r="G71" s="315" t="s">
        <v>873</v>
      </c>
      <c r="H71" s="451">
        <f>$F$3</f>
        <v>2017</v>
      </c>
      <c r="I71" s="317">
        <f>תברים!D39</f>
        <v>16784</v>
      </c>
      <c r="J71" s="325"/>
      <c r="K71" s="544"/>
      <c r="L71" s="326"/>
      <c r="M71" s="327"/>
      <c r="N71" s="282"/>
    </row>
    <row r="72" spans="1:16" ht="27" customHeight="1" x14ac:dyDescent="0.2">
      <c r="A72" s="483"/>
      <c r="B72" s="349"/>
      <c r="C72" s="349"/>
      <c r="D72" s="316"/>
      <c r="E72" s="317"/>
      <c r="F72" s="303" t="s">
        <v>20</v>
      </c>
      <c r="G72" s="315" t="s">
        <v>32</v>
      </c>
      <c r="H72" s="451">
        <f>$F$3</f>
        <v>2017</v>
      </c>
      <c r="I72" s="317">
        <f>תברים!D45</f>
        <v>93851</v>
      </c>
      <c r="J72" s="325"/>
      <c r="K72" s="544"/>
      <c r="L72" s="326"/>
      <c r="M72" s="327"/>
      <c r="N72" s="282"/>
    </row>
    <row r="73" spans="1:16" ht="44.25" customHeight="1" x14ac:dyDescent="0.2">
      <c r="A73" s="483"/>
      <c r="B73" s="349"/>
      <c r="C73" s="349"/>
      <c r="D73" s="316"/>
      <c r="E73" s="317"/>
      <c r="F73" s="303" t="s">
        <v>20</v>
      </c>
      <c r="G73" s="315" t="s">
        <v>37</v>
      </c>
      <c r="H73" s="451">
        <f>$F$3</f>
        <v>2017</v>
      </c>
      <c r="I73" s="317">
        <f>תברים!D58</f>
        <v>0</v>
      </c>
      <c r="J73" s="325"/>
      <c r="K73" s="544"/>
      <c r="L73" s="326"/>
      <c r="M73" s="327"/>
      <c r="N73" s="282"/>
    </row>
    <row r="74" spans="1:16" ht="27" customHeight="1" x14ac:dyDescent="0.2">
      <c r="A74" s="483"/>
      <c r="B74" s="349"/>
      <c r="C74" s="349"/>
      <c r="D74" s="316"/>
      <c r="E74" s="317"/>
      <c r="F74" s="303"/>
      <c r="G74" s="315" t="s">
        <v>766</v>
      </c>
      <c r="H74" s="451"/>
      <c r="I74" s="323">
        <f>I71+I72-I73</f>
        <v>110635</v>
      </c>
      <c r="J74" s="307" t="str">
        <f>IF(E71=I74,$B$3,"")</f>
        <v>תקין</v>
      </c>
      <c r="K74" s="537" t="str">
        <f>IF(E71=I74,"",E71-I74)</f>
        <v/>
      </c>
      <c r="L74" s="314" t="str">
        <f>IF($E$71=$I$74,"",P74)</f>
        <v/>
      </c>
      <c r="M74" s="557"/>
      <c r="N74" s="282"/>
      <c r="P74" s="42" t="s">
        <v>38</v>
      </c>
    </row>
    <row r="75" spans="1:16" ht="27" customHeight="1" x14ac:dyDescent="0.2">
      <c r="A75" s="483">
        <v>50</v>
      </c>
      <c r="B75" s="349" t="s">
        <v>20</v>
      </c>
      <c r="C75" s="349" t="s">
        <v>30</v>
      </c>
      <c r="D75" s="316">
        <f>$G$3</f>
        <v>2016</v>
      </c>
      <c r="E75" s="317">
        <f>תברים!F49</f>
        <v>99995</v>
      </c>
      <c r="F75" s="303" t="s">
        <v>20</v>
      </c>
      <c r="G75" s="315" t="s">
        <v>865</v>
      </c>
      <c r="H75" s="451">
        <f>$G$3</f>
        <v>2016</v>
      </c>
      <c r="I75" s="317">
        <f>תברים!F30</f>
        <v>29486</v>
      </c>
      <c r="J75" s="325"/>
      <c r="K75" s="544"/>
      <c r="L75" s="326"/>
      <c r="M75" s="327"/>
      <c r="N75" s="282"/>
    </row>
    <row r="76" spans="1:16" ht="27" customHeight="1" x14ac:dyDescent="0.2">
      <c r="A76" s="483"/>
      <c r="B76" s="349"/>
      <c r="C76" s="349"/>
      <c r="D76" s="316"/>
      <c r="E76" s="317"/>
      <c r="F76" s="303" t="s">
        <v>20</v>
      </c>
      <c r="G76" s="315" t="s">
        <v>29</v>
      </c>
      <c r="H76" s="451">
        <f>$G$3</f>
        <v>2016</v>
      </c>
      <c r="I76" s="317">
        <f>תברים!F44</f>
        <v>84751</v>
      </c>
      <c r="J76" s="325"/>
      <c r="K76" s="544"/>
      <c r="L76" s="326"/>
      <c r="M76" s="327"/>
      <c r="N76" s="282"/>
    </row>
    <row r="77" spans="1:16" ht="48.75" customHeight="1" x14ac:dyDescent="0.2">
      <c r="A77" s="483"/>
      <c r="B77" s="349"/>
      <c r="C77" s="349"/>
      <c r="D77" s="316"/>
      <c r="E77" s="317"/>
      <c r="F77" s="303" t="s">
        <v>20</v>
      </c>
      <c r="G77" s="315" t="s">
        <v>35</v>
      </c>
      <c r="H77" s="451">
        <f>$G$3</f>
        <v>2016</v>
      </c>
      <c r="I77" s="317">
        <f>תברים!F57</f>
        <v>14242</v>
      </c>
      <c r="J77" s="325"/>
      <c r="K77" s="544"/>
      <c r="L77" s="326"/>
      <c r="M77" s="327"/>
      <c r="N77" s="282"/>
    </row>
    <row r="78" spans="1:16" ht="27" customHeight="1" x14ac:dyDescent="0.2">
      <c r="A78" s="483"/>
      <c r="B78" s="349"/>
      <c r="C78" s="349"/>
      <c r="D78" s="316"/>
      <c r="E78" s="317"/>
      <c r="F78" s="303"/>
      <c r="G78" s="315" t="s">
        <v>766</v>
      </c>
      <c r="H78" s="451"/>
      <c r="I78" s="323">
        <f>I75+I76-I77</f>
        <v>99995</v>
      </c>
      <c r="J78" s="307" t="str">
        <f>IF(E75=I78,$B$3,"")</f>
        <v>תקין</v>
      </c>
      <c r="K78" s="537" t="str">
        <f>IF(E75=I78,"",E75-I78)</f>
        <v/>
      </c>
      <c r="L78" s="314" t="str">
        <f>IF($E$75=$I$78,"",P78)</f>
        <v/>
      </c>
      <c r="M78" s="557"/>
      <c r="N78" s="282"/>
      <c r="P78" s="42" t="s">
        <v>39</v>
      </c>
    </row>
    <row r="79" spans="1:16" ht="27" customHeight="1" x14ac:dyDescent="0.2">
      <c r="A79" s="483">
        <v>51</v>
      </c>
      <c r="B79" s="349" t="s">
        <v>20</v>
      </c>
      <c r="C79" s="349" t="s">
        <v>33</v>
      </c>
      <c r="D79" s="316">
        <f>$G$3</f>
        <v>2016</v>
      </c>
      <c r="E79" s="317">
        <f>תברים!F50</f>
        <v>93851</v>
      </c>
      <c r="F79" s="303" t="s">
        <v>20</v>
      </c>
      <c r="G79" s="315" t="s">
        <v>873</v>
      </c>
      <c r="H79" s="451">
        <f>$G$3</f>
        <v>2016</v>
      </c>
      <c r="I79" s="317">
        <f>תברים!F39</f>
        <v>32252</v>
      </c>
      <c r="J79" s="325"/>
      <c r="K79" s="544"/>
      <c r="L79" s="326"/>
      <c r="M79" s="327"/>
      <c r="N79" s="282"/>
    </row>
    <row r="80" spans="1:16" ht="27" customHeight="1" x14ac:dyDescent="0.2">
      <c r="A80" s="483"/>
      <c r="B80" s="349"/>
      <c r="C80" s="349"/>
      <c r="D80" s="316"/>
      <c r="E80" s="317"/>
      <c r="F80" s="303" t="s">
        <v>20</v>
      </c>
      <c r="G80" s="315" t="s">
        <v>32</v>
      </c>
      <c r="H80" s="451">
        <f>$G$3</f>
        <v>2016</v>
      </c>
      <c r="I80" s="317">
        <f>תברים!F45</f>
        <v>75841</v>
      </c>
      <c r="J80" s="325"/>
      <c r="K80" s="544"/>
      <c r="L80" s="326"/>
      <c r="M80" s="327"/>
      <c r="N80" s="282"/>
    </row>
    <row r="81" spans="1:16" ht="44.25" customHeight="1" x14ac:dyDescent="0.2">
      <c r="A81" s="483"/>
      <c r="B81" s="349"/>
      <c r="C81" s="349"/>
      <c r="D81" s="316"/>
      <c r="E81" s="317"/>
      <c r="F81" s="303" t="s">
        <v>20</v>
      </c>
      <c r="G81" s="315" t="s">
        <v>37</v>
      </c>
      <c r="H81" s="451">
        <f>$G$3</f>
        <v>2016</v>
      </c>
      <c r="I81" s="317">
        <f>תברים!F58</f>
        <v>14242</v>
      </c>
      <c r="J81" s="325"/>
      <c r="K81" s="544"/>
      <c r="L81" s="326"/>
      <c r="M81" s="327"/>
      <c r="N81" s="282"/>
    </row>
    <row r="82" spans="1:16" ht="27" customHeight="1" x14ac:dyDescent="0.2">
      <c r="A82" s="483"/>
      <c r="B82" s="349"/>
      <c r="C82" s="349"/>
      <c r="D82" s="316"/>
      <c r="E82" s="317"/>
      <c r="F82" s="303"/>
      <c r="G82" s="315" t="s">
        <v>766</v>
      </c>
      <c r="H82" s="451"/>
      <c r="I82" s="323">
        <f>I79+I80-I81</f>
        <v>93851</v>
      </c>
      <c r="J82" s="307" t="str">
        <f>IF(E79=I82,$B$3,"")</f>
        <v>תקין</v>
      </c>
      <c r="K82" s="537" t="str">
        <f>IF(E79=I82,"",E79-I82)</f>
        <v/>
      </c>
      <c r="L82" s="314" t="str">
        <f>IF($E$79=$I$82,"",P82)</f>
        <v/>
      </c>
      <c r="M82" s="557"/>
      <c r="N82" s="282"/>
      <c r="P82" s="42" t="s">
        <v>40</v>
      </c>
    </row>
    <row r="83" spans="1:16" ht="28.5" customHeight="1" x14ac:dyDescent="0.2">
      <c r="A83" s="484"/>
      <c r="B83" s="351"/>
      <c r="C83" s="351"/>
      <c r="D83" s="352"/>
      <c r="E83" s="353"/>
      <c r="F83" s="354"/>
      <c r="G83" s="355"/>
      <c r="H83" s="453"/>
      <c r="I83" s="353"/>
      <c r="J83" s="356"/>
      <c r="K83" s="549"/>
      <c r="L83" s="358"/>
      <c r="M83" s="557"/>
      <c r="N83" s="306"/>
    </row>
    <row r="84" spans="1:16" ht="15.75" x14ac:dyDescent="0.2">
      <c r="A84" s="359"/>
      <c r="B84" s="620" t="s">
        <v>41</v>
      </c>
      <c r="C84" s="620"/>
      <c r="D84" s="620"/>
      <c r="E84" s="620"/>
      <c r="F84" s="620"/>
      <c r="G84" s="620"/>
      <c r="H84" s="620"/>
      <c r="I84" s="620"/>
      <c r="J84" s="360"/>
      <c r="K84" s="550"/>
      <c r="L84" s="361"/>
      <c r="M84" s="362"/>
      <c r="N84" s="282"/>
    </row>
    <row r="85" spans="1:16" ht="27.75" customHeight="1" x14ac:dyDescent="0.2">
      <c r="A85" s="485">
        <v>52</v>
      </c>
      <c r="B85" s="363" t="s">
        <v>42</v>
      </c>
      <c r="C85" s="363" t="s">
        <v>43</v>
      </c>
      <c r="D85" s="346">
        <f>$G$3</f>
        <v>2016</v>
      </c>
      <c r="E85" s="347">
        <f>'ריכוז תברים'!H37</f>
        <v>99994</v>
      </c>
      <c r="F85" s="300" t="s">
        <v>20</v>
      </c>
      <c r="G85" s="348" t="s">
        <v>30</v>
      </c>
      <c r="H85" s="452">
        <f>$G$3</f>
        <v>2016</v>
      </c>
      <c r="I85" s="347">
        <f>תברים!F49</f>
        <v>99995</v>
      </c>
      <c r="J85" s="364" t="str">
        <f>IF(E85=I85,$B$3,"")</f>
        <v/>
      </c>
      <c r="K85" s="551">
        <f>IF(E85=I85,"",E85-I85)</f>
        <v>-1</v>
      </c>
      <c r="L85" s="365" t="str">
        <f>IF($E$85=$I$85,"",P85)</f>
        <v>סה"כ ביצוע שנה קודמת בטופס 4 אינו תואם לתקבולים לסוף השנה בשנה הקודמת בטופס 3</v>
      </c>
      <c r="M85" s="557"/>
      <c r="N85" s="282"/>
      <c r="P85" s="42" t="s">
        <v>44</v>
      </c>
    </row>
    <row r="86" spans="1:16" ht="38.25" customHeight="1" x14ac:dyDescent="0.2">
      <c r="A86" s="486">
        <v>53</v>
      </c>
      <c r="B86" s="366" t="s">
        <v>42</v>
      </c>
      <c r="C86" s="366" t="s">
        <v>45</v>
      </c>
      <c r="D86" s="316">
        <f>$G$3</f>
        <v>2016</v>
      </c>
      <c r="E86" s="317">
        <f>'ריכוז תברים'!J37</f>
        <v>93850</v>
      </c>
      <c r="F86" s="303" t="s">
        <v>20</v>
      </c>
      <c r="G86" s="315" t="s">
        <v>33</v>
      </c>
      <c r="H86" s="451">
        <f>$G$3</f>
        <v>2016</v>
      </c>
      <c r="I86" s="317">
        <f>תברים!F50</f>
        <v>93851</v>
      </c>
      <c r="J86" s="307" t="str">
        <f>IF(E86=I86,$B$3,"")</f>
        <v/>
      </c>
      <c r="K86" s="537">
        <f>IF(E86=I86,"",E86-I86)</f>
        <v>-1</v>
      </c>
      <c r="L86" s="314" t="str">
        <f>IF($E86=$I86,"",P86)</f>
        <v>סה"כ ביצוע הוצאות שנה קודמת  בטופס 4 אינו תואם לתשלומים לסוף השנה בשנה הקודמת בטופס 3</v>
      </c>
      <c r="M86" s="557" t="s">
        <v>906</v>
      </c>
      <c r="N86" s="306"/>
      <c r="P86" s="42" t="s">
        <v>46</v>
      </c>
    </row>
    <row r="87" spans="1:16" ht="47.25" customHeight="1" x14ac:dyDescent="0.2">
      <c r="A87" s="486">
        <v>54</v>
      </c>
      <c r="B87" s="366" t="s">
        <v>42</v>
      </c>
      <c r="C87" s="366" t="s">
        <v>47</v>
      </c>
      <c r="D87" s="316">
        <f>$F$3</f>
        <v>2017</v>
      </c>
      <c r="E87" s="317">
        <f>'ריכוז תברים'!L37</f>
        <v>7133</v>
      </c>
      <c r="F87" s="303" t="s">
        <v>20</v>
      </c>
      <c r="G87" s="315" t="s">
        <v>865</v>
      </c>
      <c r="H87" s="451">
        <f>$F$3</f>
        <v>2017</v>
      </c>
      <c r="I87" s="317">
        <f>תברים!D30</f>
        <v>7133</v>
      </c>
      <c r="J87" s="307" t="str">
        <f>IF(E87=I87,$B$3,"")</f>
        <v>תקין</v>
      </c>
      <c r="K87" s="537" t="str">
        <f>IF(E87=I87,"",E87-I87)</f>
        <v/>
      </c>
      <c r="L87" s="314" t="str">
        <f>IF($E87=$I87,"",P87)</f>
        <v/>
      </c>
      <c r="M87" s="557"/>
      <c r="N87" s="306"/>
      <c r="P87" s="42" t="s">
        <v>48</v>
      </c>
    </row>
    <row r="88" spans="1:16" ht="40.5" customHeight="1" x14ac:dyDescent="0.2">
      <c r="A88" s="485">
        <v>55</v>
      </c>
      <c r="B88" s="366" t="s">
        <v>42</v>
      </c>
      <c r="C88" s="366" t="s">
        <v>49</v>
      </c>
      <c r="D88" s="316">
        <f>$F$3</f>
        <v>2017</v>
      </c>
      <c r="E88" s="317">
        <f>'ריכוז תברים'!N37</f>
        <v>16784</v>
      </c>
      <c r="F88" s="303" t="s">
        <v>20</v>
      </c>
      <c r="G88" s="315" t="s">
        <v>873</v>
      </c>
      <c r="H88" s="451">
        <f>$F$3</f>
        <v>2017</v>
      </c>
      <c r="I88" s="317">
        <f>תברים!D39</f>
        <v>16784</v>
      </c>
      <c r="J88" s="307" t="str">
        <f>IF(E88=I88,$B$3,"")</f>
        <v>תקין</v>
      </c>
      <c r="K88" s="537" t="str">
        <f>IF(E88=I88,"",E88-I88)</f>
        <v/>
      </c>
      <c r="L88" s="314" t="str">
        <f>IF($E88=$I88,"",P88)</f>
        <v/>
      </c>
      <c r="M88" s="557"/>
      <c r="N88" s="282"/>
      <c r="P88" s="42" t="s">
        <v>50</v>
      </c>
    </row>
    <row r="89" spans="1:16" ht="39" customHeight="1" x14ac:dyDescent="0.2">
      <c r="A89" s="485">
        <v>56</v>
      </c>
      <c r="B89" s="366" t="s">
        <v>42</v>
      </c>
      <c r="C89" s="366" t="s">
        <v>806</v>
      </c>
      <c r="D89" s="316">
        <f>$F$3</f>
        <v>2017</v>
      </c>
      <c r="E89" s="317">
        <f>'ריכוז תברים'!P37</f>
        <v>107127</v>
      </c>
      <c r="F89" s="303" t="s">
        <v>20</v>
      </c>
      <c r="G89" s="315" t="s">
        <v>30</v>
      </c>
      <c r="H89" s="451">
        <f>$F$3</f>
        <v>2017</v>
      </c>
      <c r="I89" s="317">
        <f>תברים!D49</f>
        <v>107128</v>
      </c>
      <c r="J89" s="325"/>
      <c r="K89" s="544"/>
      <c r="L89" s="326"/>
      <c r="M89" s="367"/>
      <c r="N89" s="282"/>
    </row>
    <row r="90" spans="1:16" ht="39" customHeight="1" x14ac:dyDescent="0.2">
      <c r="A90" s="485"/>
      <c r="B90" s="366"/>
      <c r="C90" s="366"/>
      <c r="D90" s="316"/>
      <c r="E90" s="317"/>
      <c r="F90" s="303" t="s">
        <v>20</v>
      </c>
      <c r="G90" s="315" t="s">
        <v>881</v>
      </c>
      <c r="H90" s="451">
        <f>$F$3</f>
        <v>2017</v>
      </c>
      <c r="I90" s="317">
        <f>תברים!D57</f>
        <v>0</v>
      </c>
      <c r="J90" s="325"/>
      <c r="K90" s="544"/>
      <c r="L90" s="326"/>
      <c r="M90" s="367"/>
      <c r="N90" s="282"/>
    </row>
    <row r="91" spans="1:16" ht="39" customHeight="1" x14ac:dyDescent="0.2">
      <c r="A91" s="485"/>
      <c r="B91" s="366"/>
      <c r="C91" s="366"/>
      <c r="D91" s="316"/>
      <c r="E91" s="317"/>
      <c r="F91" s="303"/>
      <c r="G91" s="315" t="s">
        <v>766</v>
      </c>
      <c r="H91" s="451"/>
      <c r="I91" s="323">
        <f>SUM(I89:I90)</f>
        <v>107128</v>
      </c>
      <c r="J91" s="307" t="str">
        <f>IF(E89=I91,$B$3,"")</f>
        <v/>
      </c>
      <c r="K91" s="537">
        <f>IF(E89=I91,"",E89-I91)</f>
        <v>-1</v>
      </c>
      <c r="L91" s="314" t="str">
        <f>IF(E89=I91,"",$P$91)</f>
        <v>סה"כ ביצוע מצטבר הכנסות בטופס 4 אינו תואם לתקבולים לסוף השנה+תקבולים בגין פרוייקטים שנסגרו בטופס 3</v>
      </c>
      <c r="M91" s="557"/>
      <c r="N91" s="282"/>
      <c r="P91" s="42" t="s">
        <v>51</v>
      </c>
    </row>
    <row r="92" spans="1:16" ht="30.75" customHeight="1" x14ac:dyDescent="0.2">
      <c r="A92" s="485">
        <v>57</v>
      </c>
      <c r="B92" s="366" t="s">
        <v>42</v>
      </c>
      <c r="C92" s="366" t="s">
        <v>807</v>
      </c>
      <c r="D92" s="316">
        <f>$F$3</f>
        <v>2017</v>
      </c>
      <c r="E92" s="317">
        <f>'ריכוז תברים'!R37</f>
        <v>110634</v>
      </c>
      <c r="F92" s="303" t="s">
        <v>20</v>
      </c>
      <c r="G92" s="315" t="s">
        <v>33</v>
      </c>
      <c r="H92" s="451">
        <f>$F$3</f>
        <v>2017</v>
      </c>
      <c r="I92" s="317">
        <f>תברים!D50</f>
        <v>110635</v>
      </c>
      <c r="J92" s="307"/>
      <c r="K92" s="537"/>
      <c r="L92" s="314"/>
      <c r="M92" s="557"/>
      <c r="N92" s="282"/>
    </row>
    <row r="93" spans="1:16" ht="30.75" customHeight="1" x14ac:dyDescent="0.2">
      <c r="A93" s="485"/>
      <c r="B93" s="366"/>
      <c r="C93" s="366"/>
      <c r="D93" s="316"/>
      <c r="E93" s="317"/>
      <c r="F93" s="303"/>
      <c r="G93" s="315" t="s">
        <v>52</v>
      </c>
      <c r="H93" s="451">
        <f>$F$3</f>
        <v>2017</v>
      </c>
      <c r="I93" s="317">
        <f>תברים!D58</f>
        <v>0</v>
      </c>
      <c r="J93" s="307"/>
      <c r="K93" s="537"/>
      <c r="L93" s="314"/>
      <c r="M93" s="557"/>
      <c r="N93" s="282"/>
    </row>
    <row r="94" spans="1:16" ht="35.25" customHeight="1" x14ac:dyDescent="0.2">
      <c r="A94" s="485"/>
      <c r="B94" s="366"/>
      <c r="C94" s="366"/>
      <c r="D94" s="316"/>
      <c r="E94" s="317"/>
      <c r="F94" s="303"/>
      <c r="G94" s="315" t="s">
        <v>766</v>
      </c>
      <c r="H94" s="451"/>
      <c r="I94" s="323">
        <f>SUM(I92:I93)</f>
        <v>110635</v>
      </c>
      <c r="J94" s="307" t="str">
        <f>IF(E92=I94,$B$3,"")</f>
        <v/>
      </c>
      <c r="K94" s="537">
        <f>IF(E92=I94,"",E92-I94)</f>
        <v>-1</v>
      </c>
      <c r="L94" s="314" t="str">
        <f>IF(E92=I94,"",$P$94)</f>
        <v>סה"כ ביצוע מצטבר הוצאות בטופס 4 אינו תואם לתשלומים לסוף השנה+תשלומים בגין פרוייקטים שנסגרו בטופס 3</v>
      </c>
      <c r="M94" s="557" t="s">
        <v>906</v>
      </c>
      <c r="N94" s="282"/>
      <c r="P94" s="42" t="s">
        <v>53</v>
      </c>
    </row>
    <row r="95" spans="1:16" ht="24" customHeight="1" x14ac:dyDescent="0.2">
      <c r="A95" s="485">
        <v>58</v>
      </c>
      <c r="B95" s="366" t="s">
        <v>42</v>
      </c>
      <c r="C95" s="366" t="s">
        <v>54</v>
      </c>
      <c r="D95" s="316">
        <f t="shared" ref="D95:D153" si="2">$F$3</f>
        <v>2017</v>
      </c>
      <c r="E95" s="317">
        <f>'ריכוז תברים'!X37</f>
        <v>-3507</v>
      </c>
      <c r="F95" s="303" t="s">
        <v>20</v>
      </c>
      <c r="G95" s="315" t="s">
        <v>878</v>
      </c>
      <c r="H95" s="451">
        <f>$F$3</f>
        <v>2017</v>
      </c>
      <c r="I95" s="317">
        <f>תברים!D55</f>
        <v>-3507</v>
      </c>
      <c r="J95" s="307" t="str">
        <f>IF(E95=I95,$B$3,"")</f>
        <v>תקין</v>
      </c>
      <c r="K95" s="537" t="str">
        <f>IF(E95=I95,"",E95-I95)</f>
        <v/>
      </c>
      <c r="L95" s="314" t="str">
        <f>IF($E95=$I95,"",P95)</f>
        <v/>
      </c>
      <c r="M95" s="557" t="s">
        <v>906</v>
      </c>
      <c r="N95" s="306"/>
      <c r="P95" s="42" t="s">
        <v>55</v>
      </c>
    </row>
    <row r="96" spans="1:16" x14ac:dyDescent="0.2">
      <c r="A96" s="485">
        <v>59</v>
      </c>
      <c r="B96" s="366" t="s">
        <v>42</v>
      </c>
      <c r="C96" s="366" t="s">
        <v>56</v>
      </c>
      <c r="D96" s="316">
        <f t="shared" si="2"/>
        <v>2017</v>
      </c>
      <c r="E96" s="317">
        <f>'ריכוז תברים'!D8</f>
        <v>0</v>
      </c>
      <c r="F96" s="303"/>
      <c r="G96" s="315"/>
      <c r="H96" s="451"/>
      <c r="I96" s="317"/>
      <c r="J96" s="569" t="str">
        <f>IF(OR('ריכוז תברים'!$D8&lt;&gt;0,AND('ריכוז תברים'!$F8=0,'ריכוז תברים'!$H8=0,'ריכוז תברים'!$J8=0,'ריכוז תברים'!$L8=0,'ריכוז תברים'!$N8=0,'ריכוז תברים'!$T8=0)),$B$3,"")</f>
        <v>תקין</v>
      </c>
      <c r="K96" s="567"/>
      <c r="L96" s="570" t="str">
        <f>IF(OR('ריכוז תברים'!$D8&lt;&gt;0,AND('ריכוז תברים'!$F8=0,'ריכוז תברים'!$H8=0,'ריכוז תברים'!$J8=0,'ריכוז תברים'!$L8=0,'ריכוז תברים'!$N8=0,'ריכוז תברים'!$T8=0)),"",P96)</f>
        <v/>
      </c>
      <c r="M96" s="571"/>
      <c r="N96" s="282"/>
      <c r="P96" s="42" t="s">
        <v>57</v>
      </c>
    </row>
    <row r="97" spans="1:16" x14ac:dyDescent="0.2">
      <c r="A97" s="485">
        <v>60</v>
      </c>
      <c r="B97" s="366" t="s">
        <v>42</v>
      </c>
      <c r="C97" s="366" t="s">
        <v>58</v>
      </c>
      <c r="D97" s="316">
        <f t="shared" si="2"/>
        <v>2017</v>
      </c>
      <c r="E97" s="317">
        <f>'ריכוז תברים'!D9</f>
        <v>0</v>
      </c>
      <c r="F97" s="303"/>
      <c r="G97" s="315"/>
      <c r="H97" s="451"/>
      <c r="I97" s="317"/>
      <c r="J97" s="569" t="str">
        <f>IF(OR('ריכוז תברים'!$D9&lt;&gt;0,AND('ריכוז תברים'!$F9=0,'ריכוז תברים'!$H9=0,'ריכוז תברים'!$J9=0,'ריכוז תברים'!$L9=0,'ריכוז תברים'!$N9=0,'ריכוז תברים'!$T9=0)),$B$3,"")</f>
        <v>תקין</v>
      </c>
      <c r="K97" s="567"/>
      <c r="L97" s="570" t="str">
        <f>IF(OR('ריכוז תברים'!$D9&lt;&gt;0,AND('ריכוז תברים'!$F9=0,'ריכוז תברים'!$H9=0,'ריכוז תברים'!$J9=0,'ריכוז תברים'!$L9=0,'ריכוז תברים'!$N9=0,'ריכוז תברים'!$T9=0)),"",P97)</f>
        <v/>
      </c>
      <c r="M97" s="571"/>
      <c r="N97" s="282"/>
      <c r="P97" s="42" t="s">
        <v>57</v>
      </c>
    </row>
    <row r="98" spans="1:16" x14ac:dyDescent="0.2">
      <c r="A98" s="485">
        <v>61</v>
      </c>
      <c r="B98" s="366" t="s">
        <v>42</v>
      </c>
      <c r="C98" s="366" t="s">
        <v>59</v>
      </c>
      <c r="D98" s="316">
        <f t="shared" si="2"/>
        <v>2017</v>
      </c>
      <c r="E98" s="317">
        <f>'ריכוז תברים'!D10</f>
        <v>0</v>
      </c>
      <c r="F98" s="303"/>
      <c r="G98" s="315"/>
      <c r="H98" s="451"/>
      <c r="I98" s="317"/>
      <c r="J98" s="569" t="str">
        <f>IF(OR('ריכוז תברים'!$D10&lt;&gt;0,AND('ריכוז תברים'!$F10=0,'ריכוז תברים'!$H10=0,'ריכוז תברים'!$J10=0,'ריכוז תברים'!$L10=0,'ריכוז תברים'!$N10=0,'ריכוז תברים'!$T10=0)),$B$3,"")</f>
        <v>תקין</v>
      </c>
      <c r="K98" s="567"/>
      <c r="L98" s="570" t="str">
        <f>IF(OR('ריכוז תברים'!$D10&lt;&gt;0,AND('ריכוז תברים'!$F10=0,'ריכוז תברים'!$H10=0,'ריכוז תברים'!$J10=0,'ריכוז תברים'!$L10=0,'ריכוז תברים'!$N10=0,'ריכוז תברים'!$T10=0)),"",P98)</f>
        <v/>
      </c>
      <c r="M98" s="571"/>
      <c r="N98" s="282"/>
      <c r="P98" s="42" t="s">
        <v>57</v>
      </c>
    </row>
    <row r="99" spans="1:16" x14ac:dyDescent="0.2">
      <c r="A99" s="485">
        <v>62</v>
      </c>
      <c r="B99" s="366" t="s">
        <v>42</v>
      </c>
      <c r="C99" s="366" t="s">
        <v>60</v>
      </c>
      <c r="D99" s="316">
        <f t="shared" si="2"/>
        <v>2017</v>
      </c>
      <c r="E99" s="317">
        <f>'ריכוז תברים'!D11</f>
        <v>0</v>
      </c>
      <c r="F99" s="303"/>
      <c r="G99" s="315"/>
      <c r="H99" s="451"/>
      <c r="I99" s="317"/>
      <c r="J99" s="569" t="str">
        <f>IF(OR('ריכוז תברים'!$D11&lt;&gt;0,AND('ריכוז תברים'!$F11=0,'ריכוז תברים'!$H11=0,'ריכוז תברים'!$J11=0,'ריכוז תברים'!$L11=0,'ריכוז תברים'!$N11=0,'ריכוז תברים'!$T11=0)),$B$3,"")</f>
        <v>תקין</v>
      </c>
      <c r="K99" s="567"/>
      <c r="L99" s="570" t="str">
        <f>IF(OR('ריכוז תברים'!$D11&lt;&gt;0,AND('ריכוז תברים'!$F11=0,'ריכוז תברים'!$H11=0,'ריכוז תברים'!$J11=0,'ריכוז תברים'!$L11=0,'ריכוז תברים'!$N11=0,'ריכוז תברים'!$T11=0)),"",P99)</f>
        <v/>
      </c>
      <c r="M99" s="571"/>
      <c r="N99" s="282"/>
      <c r="P99" s="42" t="s">
        <v>57</v>
      </c>
    </row>
    <row r="100" spans="1:16" x14ac:dyDescent="0.2">
      <c r="A100" s="485">
        <v>63</v>
      </c>
      <c r="B100" s="366" t="s">
        <v>42</v>
      </c>
      <c r="C100" s="366" t="s">
        <v>61</v>
      </c>
      <c r="D100" s="316">
        <f t="shared" si="2"/>
        <v>2017</v>
      </c>
      <c r="E100" s="317">
        <f>'ריכוז תברים'!D12</f>
        <v>6</v>
      </c>
      <c r="F100" s="303"/>
      <c r="G100" s="315"/>
      <c r="H100" s="451"/>
      <c r="I100" s="317"/>
      <c r="J100" s="569" t="str">
        <f>IF(OR('ריכוז תברים'!$D12&lt;&gt;0,AND('ריכוז תברים'!$F12=0,'ריכוז תברים'!$H12=0,'ריכוז תברים'!$J12=0,'ריכוז תברים'!$L12=0,'ריכוז תברים'!$N12=0,'ריכוז תברים'!$T12=0)),$B$3,"")</f>
        <v>תקין</v>
      </c>
      <c r="K100" s="567"/>
      <c r="L100" s="570" t="str">
        <f>IF(OR('ריכוז תברים'!$D12&lt;&gt;0,AND('ריכוז תברים'!$F12=0,'ריכוז תברים'!$H12=0,'ריכוז תברים'!$J12=0,'ריכוז תברים'!$L12=0,'ריכוז תברים'!$N12=0,'ריכוז תברים'!$T12=0)),"",P100)</f>
        <v/>
      </c>
      <c r="M100" s="571"/>
      <c r="N100" s="282"/>
      <c r="P100" s="42" t="s">
        <v>57</v>
      </c>
    </row>
    <row r="101" spans="1:16" x14ac:dyDescent="0.2">
      <c r="A101" s="485">
        <v>64</v>
      </c>
      <c r="B101" s="366" t="s">
        <v>42</v>
      </c>
      <c r="C101" s="366" t="s">
        <v>62</v>
      </c>
      <c r="D101" s="316">
        <f t="shared" si="2"/>
        <v>2017</v>
      </c>
      <c r="E101" s="317">
        <f>'ריכוז תברים'!D13</f>
        <v>10</v>
      </c>
      <c r="F101" s="303"/>
      <c r="G101" s="315"/>
      <c r="H101" s="451"/>
      <c r="I101" s="317"/>
      <c r="J101" s="569" t="str">
        <f>IF(OR('ריכוז תברים'!$D13&lt;&gt;0,AND('ריכוז תברים'!$F13=0,'ריכוז תברים'!$H13=0,'ריכוז תברים'!$J13=0,'ריכוז תברים'!$L13=0,'ריכוז תברים'!$N13=0,'ריכוז תברים'!$T13=0)),$B$3,"")</f>
        <v>תקין</v>
      </c>
      <c r="K101" s="567"/>
      <c r="L101" s="570" t="str">
        <f>IF(OR('ריכוז תברים'!$D13&lt;&gt;0,AND('ריכוז תברים'!$F13=0,'ריכוז תברים'!$H13=0,'ריכוז תברים'!$J13=0,'ריכוז תברים'!$L13=0,'ריכוז תברים'!$N13=0,'ריכוז תברים'!$T13=0)),"",P101)</f>
        <v/>
      </c>
      <c r="M101" s="571"/>
      <c r="N101" s="282"/>
      <c r="P101" s="42" t="s">
        <v>57</v>
      </c>
    </row>
    <row r="102" spans="1:16" x14ac:dyDescent="0.2">
      <c r="A102" s="485">
        <v>65</v>
      </c>
      <c r="B102" s="366" t="s">
        <v>42</v>
      </c>
      <c r="C102" s="366" t="s">
        <v>63</v>
      </c>
      <c r="D102" s="316">
        <f t="shared" si="2"/>
        <v>2017</v>
      </c>
      <c r="E102" s="317">
        <f>'ריכוז תברים'!D14</f>
        <v>5</v>
      </c>
      <c r="F102" s="303"/>
      <c r="G102" s="315"/>
      <c r="H102" s="451"/>
      <c r="I102" s="317"/>
      <c r="J102" s="569" t="str">
        <f>IF(OR('ריכוז תברים'!$D14&lt;&gt;0,AND('ריכוז תברים'!$F14=0,'ריכוז תברים'!$H14=0,'ריכוז תברים'!$J14=0,'ריכוז תברים'!$L14=0,'ריכוז תברים'!$N14=0,'ריכוז תברים'!$T14=0)),$B$3,"")</f>
        <v>תקין</v>
      </c>
      <c r="K102" s="567"/>
      <c r="L102" s="570" t="str">
        <f>IF(OR('ריכוז תברים'!$D14&lt;&gt;0,AND('ריכוז תברים'!$F14=0,'ריכוז תברים'!$H14=0,'ריכוז תברים'!$J14=0,'ריכוז תברים'!$L14=0,'ריכוז תברים'!$N14=0,'ריכוז תברים'!$T14=0)),"",P102)</f>
        <v/>
      </c>
      <c r="M102" s="571"/>
      <c r="N102" s="282"/>
      <c r="P102" s="42" t="s">
        <v>57</v>
      </c>
    </row>
    <row r="103" spans="1:16" x14ac:dyDescent="0.2">
      <c r="A103" s="485">
        <v>66</v>
      </c>
      <c r="B103" s="366" t="s">
        <v>42</v>
      </c>
      <c r="C103" s="366" t="s">
        <v>64</v>
      </c>
      <c r="D103" s="316">
        <f t="shared" si="2"/>
        <v>2017</v>
      </c>
      <c r="E103" s="317">
        <f>'ריכוז תברים'!D15</f>
        <v>51</v>
      </c>
      <c r="F103" s="303"/>
      <c r="G103" s="315"/>
      <c r="H103" s="451"/>
      <c r="I103" s="317"/>
      <c r="J103" s="569" t="str">
        <f>IF(OR('ריכוז תברים'!$D15&lt;&gt;0,AND('ריכוז תברים'!$F15=0,'ריכוז תברים'!$H15=0,'ריכוז תברים'!$J15=0,'ריכוז תברים'!$L15=0,'ריכוז תברים'!$N15=0,'ריכוז תברים'!$T15=0)),$B$3,"")</f>
        <v>תקין</v>
      </c>
      <c r="K103" s="567"/>
      <c r="L103" s="570" t="str">
        <f>IF(OR('ריכוז תברים'!$D15&lt;&gt;0,AND('ריכוז תברים'!$F15=0,'ריכוז תברים'!$H15=0,'ריכוז תברים'!$J15=0,'ריכוז תברים'!$L15=0,'ריכוז תברים'!$N15=0,'ריכוז תברים'!$T15=0)),"",P103)</f>
        <v/>
      </c>
      <c r="M103" s="571"/>
      <c r="N103" s="282"/>
      <c r="P103" s="42" t="s">
        <v>57</v>
      </c>
    </row>
    <row r="104" spans="1:16" x14ac:dyDescent="0.2">
      <c r="A104" s="485">
        <v>67</v>
      </c>
      <c r="B104" s="366" t="s">
        <v>42</v>
      </c>
      <c r="C104" s="366" t="s">
        <v>65</v>
      </c>
      <c r="D104" s="316">
        <f t="shared" si="2"/>
        <v>2017</v>
      </c>
      <c r="E104" s="317">
        <f>'ריכוז תברים'!D16</f>
        <v>0</v>
      </c>
      <c r="F104" s="303"/>
      <c r="G104" s="315"/>
      <c r="H104" s="451"/>
      <c r="I104" s="317"/>
      <c r="J104" s="569" t="str">
        <f>IF(OR('ריכוז תברים'!$D16&lt;&gt;0,AND('ריכוז תברים'!$F16=0,'ריכוז תברים'!$H16=0,'ריכוז תברים'!$J16=0,'ריכוז תברים'!$L16=0,'ריכוז תברים'!$N16=0,'ריכוז תברים'!$T16=0)),$B$3,"")</f>
        <v>תקין</v>
      </c>
      <c r="K104" s="567"/>
      <c r="L104" s="570" t="str">
        <f>IF(OR('ריכוז תברים'!$D16&lt;&gt;0,AND('ריכוז תברים'!$F16=0,'ריכוז תברים'!$H16=0,'ריכוז תברים'!$J16=0,'ריכוז תברים'!$L16=0,'ריכוז תברים'!$N16=0,'ריכוז תברים'!$T16=0)),"",P104)</f>
        <v/>
      </c>
      <c r="M104" s="571"/>
      <c r="N104" s="282"/>
      <c r="P104" s="42" t="s">
        <v>57</v>
      </c>
    </row>
    <row r="105" spans="1:16" x14ac:dyDescent="0.2">
      <c r="A105" s="485">
        <v>68</v>
      </c>
      <c r="B105" s="366" t="s">
        <v>42</v>
      </c>
      <c r="C105" s="366" t="s">
        <v>66</v>
      </c>
      <c r="D105" s="316">
        <f t="shared" si="2"/>
        <v>2017</v>
      </c>
      <c r="E105" s="317">
        <f>'ריכוז תברים'!D17</f>
        <v>2</v>
      </c>
      <c r="F105" s="303"/>
      <c r="G105" s="315"/>
      <c r="H105" s="451"/>
      <c r="I105" s="317"/>
      <c r="J105" s="569" t="str">
        <f>IF(OR('ריכוז תברים'!$D17&lt;&gt;0,AND('ריכוז תברים'!$F17=0,'ריכוז תברים'!$H17=0,'ריכוז תברים'!$J17=0,'ריכוז תברים'!$L17=0,'ריכוז תברים'!$N17=0,'ריכוז תברים'!$T17=0)),$B$3,"")</f>
        <v>תקין</v>
      </c>
      <c r="K105" s="567"/>
      <c r="L105" s="570" t="str">
        <f>IF(OR('ריכוז תברים'!$D17&lt;&gt;0,AND('ריכוז תברים'!$F17=0,'ריכוז תברים'!$H17=0,'ריכוז תברים'!$J17=0,'ריכוז תברים'!$L17=0,'ריכוז תברים'!$N17=0,'ריכוז תברים'!$T17=0)),"",P105)</f>
        <v/>
      </c>
      <c r="M105" s="571"/>
      <c r="N105" s="282"/>
      <c r="P105" s="42" t="s">
        <v>57</v>
      </c>
    </row>
    <row r="106" spans="1:16" x14ac:dyDescent="0.2">
      <c r="A106" s="485">
        <v>69</v>
      </c>
      <c r="B106" s="366" t="s">
        <v>42</v>
      </c>
      <c r="C106" s="366" t="s">
        <v>67</v>
      </c>
      <c r="D106" s="316">
        <f t="shared" si="2"/>
        <v>2017</v>
      </c>
      <c r="E106" s="317">
        <f>'ריכוז תברים'!D18</f>
        <v>2</v>
      </c>
      <c r="F106" s="303"/>
      <c r="G106" s="315"/>
      <c r="H106" s="451"/>
      <c r="I106" s="317"/>
      <c r="J106" s="569" t="str">
        <f>IF(OR('ריכוז תברים'!$D18&lt;&gt;0,AND('ריכוז תברים'!$F18=0,'ריכוז תברים'!$H18=0,'ריכוז תברים'!$J18=0,'ריכוז תברים'!$L18=0,'ריכוז תברים'!$N18=0,'ריכוז תברים'!$T18=0)),$B$3,"")</f>
        <v>תקין</v>
      </c>
      <c r="K106" s="567"/>
      <c r="L106" s="570" t="str">
        <f>IF(OR('ריכוז תברים'!$D18&lt;&gt;0,AND('ריכוז תברים'!$F18=0,'ריכוז תברים'!$H18=0,'ריכוז תברים'!$J18=0,'ריכוז תברים'!$L18=0,'ריכוז תברים'!$N18=0,'ריכוז תברים'!$T18=0)),"",P106)</f>
        <v/>
      </c>
      <c r="M106" s="571"/>
      <c r="N106" s="282"/>
      <c r="P106" s="42" t="s">
        <v>57</v>
      </c>
    </row>
    <row r="107" spans="1:16" x14ac:dyDescent="0.2">
      <c r="A107" s="485">
        <v>70</v>
      </c>
      <c r="B107" s="366" t="s">
        <v>42</v>
      </c>
      <c r="C107" s="366" t="s">
        <v>68</v>
      </c>
      <c r="D107" s="316">
        <f t="shared" si="2"/>
        <v>2017</v>
      </c>
      <c r="E107" s="317">
        <f>'ריכוז תברים'!D19</f>
        <v>0</v>
      </c>
      <c r="F107" s="303"/>
      <c r="G107" s="315"/>
      <c r="H107" s="451"/>
      <c r="I107" s="317"/>
      <c r="J107" s="569" t="str">
        <f>IF(OR('ריכוז תברים'!$D19&lt;&gt;0,AND('ריכוז תברים'!$F19=0,'ריכוז תברים'!$H19=0,'ריכוז תברים'!$J19=0,'ריכוז תברים'!$L19=0,'ריכוז תברים'!$N19=0,'ריכוז תברים'!$T19=0)),$B$3,"")</f>
        <v>תקין</v>
      </c>
      <c r="K107" s="567"/>
      <c r="L107" s="570" t="str">
        <f>IF(OR('ריכוז תברים'!$D19&lt;&gt;0,AND('ריכוז תברים'!$F19=0,'ריכוז תברים'!$H19=0,'ריכוז תברים'!$J19=0,'ריכוז תברים'!$L19=0,'ריכוז תברים'!$N19=0,'ריכוז תברים'!$T19=0)),"",P107)</f>
        <v/>
      </c>
      <c r="M107" s="571"/>
      <c r="N107" s="282"/>
      <c r="P107" s="42" t="s">
        <v>57</v>
      </c>
    </row>
    <row r="108" spans="1:16" x14ac:dyDescent="0.2">
      <c r="A108" s="485">
        <v>71</v>
      </c>
      <c r="B108" s="366" t="s">
        <v>42</v>
      </c>
      <c r="C108" s="366" t="s">
        <v>69</v>
      </c>
      <c r="D108" s="316">
        <f t="shared" si="2"/>
        <v>2017</v>
      </c>
      <c r="E108" s="317">
        <f>'ריכוז תברים'!D20</f>
        <v>0</v>
      </c>
      <c r="F108" s="303"/>
      <c r="G108" s="315"/>
      <c r="H108" s="451"/>
      <c r="I108" s="317"/>
      <c r="J108" s="569" t="str">
        <f>IF(OR('ריכוז תברים'!$D20&lt;&gt;0,AND('ריכוז תברים'!$F20=0,'ריכוז תברים'!$H20=0,'ריכוז תברים'!$J20=0,'ריכוז תברים'!$L20=0,'ריכוז תברים'!$N20=0,'ריכוז תברים'!$T20=0)),$B$3,"")</f>
        <v>תקין</v>
      </c>
      <c r="K108" s="567"/>
      <c r="L108" s="570" t="str">
        <f>IF(OR('ריכוז תברים'!$D20&lt;&gt;0,AND('ריכוז תברים'!$F20=0,'ריכוז תברים'!$H20=0,'ריכוז תברים'!$J20=0,'ריכוז תברים'!$L20=0,'ריכוז תברים'!$N20=0,'ריכוז תברים'!$T20=0)),"",P108)</f>
        <v/>
      </c>
      <c r="M108" s="571"/>
      <c r="N108" s="282"/>
      <c r="P108" s="42" t="s">
        <v>57</v>
      </c>
    </row>
    <row r="109" spans="1:16" x14ac:dyDescent="0.2">
      <c r="A109" s="485">
        <v>72</v>
      </c>
      <c r="B109" s="366" t="s">
        <v>42</v>
      </c>
      <c r="C109" s="366" t="s">
        <v>70</v>
      </c>
      <c r="D109" s="316">
        <f t="shared" si="2"/>
        <v>2017</v>
      </c>
      <c r="E109" s="317">
        <f>'ריכוז תברים'!D21</f>
        <v>32</v>
      </c>
      <c r="F109" s="303"/>
      <c r="G109" s="315"/>
      <c r="H109" s="451"/>
      <c r="I109" s="317"/>
      <c r="J109" s="569" t="str">
        <f>IF(OR('ריכוז תברים'!$D21&lt;&gt;0,AND('ריכוז תברים'!$F21=0,'ריכוז תברים'!$H21=0,'ריכוז תברים'!$J21=0,'ריכוז תברים'!$L21=0,'ריכוז תברים'!$N21=0,'ריכוז תברים'!$T21=0)),$B$3,"")</f>
        <v>תקין</v>
      </c>
      <c r="K109" s="567"/>
      <c r="L109" s="570" t="str">
        <f>IF(OR('ריכוז תברים'!$D21&lt;&gt;0,AND('ריכוז תברים'!$F21=0,'ריכוז תברים'!$H21=0,'ריכוז תברים'!$J21=0,'ריכוז תברים'!$L21=0,'ריכוז תברים'!$N21=0,'ריכוז תברים'!$T21=0)),"",P109)</f>
        <v/>
      </c>
      <c r="M109" s="571"/>
      <c r="N109" s="282"/>
      <c r="P109" s="42" t="s">
        <v>57</v>
      </c>
    </row>
    <row r="110" spans="1:16" x14ac:dyDescent="0.2">
      <c r="A110" s="485">
        <v>73</v>
      </c>
      <c r="B110" s="366" t="s">
        <v>42</v>
      </c>
      <c r="C110" s="366" t="s">
        <v>72</v>
      </c>
      <c r="D110" s="316">
        <f t="shared" si="2"/>
        <v>2017</v>
      </c>
      <c r="E110" s="317">
        <f>'ריכוז תברים'!D22</f>
        <v>15</v>
      </c>
      <c r="F110" s="303"/>
      <c r="G110" s="315"/>
      <c r="H110" s="451"/>
      <c r="I110" s="317"/>
      <c r="J110" s="569" t="str">
        <f>IF(OR('ריכוז תברים'!$D22&lt;&gt;0,AND('ריכוז תברים'!$F22=0,'ריכוז תברים'!$H22=0,'ריכוז תברים'!$J22=0,'ריכוז תברים'!$L22=0,'ריכוז תברים'!$N22=0,'ריכוז תברים'!$T22=0)),$B$3,"")</f>
        <v>תקין</v>
      </c>
      <c r="K110" s="567"/>
      <c r="L110" s="570" t="str">
        <f>IF(OR('ריכוז תברים'!$D22&lt;&gt;0,AND('ריכוז תברים'!$F22=0,'ריכוז תברים'!$H22=0,'ריכוז תברים'!$J22=0,'ריכוז תברים'!$L22=0,'ריכוז תברים'!$N22=0,'ריכוז תברים'!$T22=0)),"",P110)</f>
        <v/>
      </c>
      <c r="M110" s="571"/>
      <c r="N110" s="282"/>
      <c r="P110" s="42" t="s">
        <v>57</v>
      </c>
    </row>
    <row r="111" spans="1:16" x14ac:dyDescent="0.2">
      <c r="A111" s="485">
        <v>74</v>
      </c>
      <c r="B111" s="366" t="s">
        <v>42</v>
      </c>
      <c r="C111" s="366" t="s">
        <v>73</v>
      </c>
      <c r="D111" s="316">
        <f t="shared" si="2"/>
        <v>2017</v>
      </c>
      <c r="E111" s="317">
        <f>'ריכוז תברים'!D23</f>
        <v>0</v>
      </c>
      <c r="F111" s="303"/>
      <c r="G111" s="315"/>
      <c r="H111" s="451"/>
      <c r="I111" s="317"/>
      <c r="J111" s="569" t="str">
        <f>IF(OR('ריכוז תברים'!$D23&lt;&gt;0,AND('ריכוז תברים'!$F23=0,'ריכוז תברים'!$H23=0,'ריכוז תברים'!$J23=0,'ריכוז תברים'!$L23=0,'ריכוז תברים'!$N23=0,'ריכוז תברים'!$T23=0)),$B$3,"")</f>
        <v>תקין</v>
      </c>
      <c r="K111" s="567"/>
      <c r="L111" s="570" t="str">
        <f>IF(OR('ריכוז תברים'!$D23&lt;&gt;0,AND('ריכוז תברים'!$F23=0,'ריכוז תברים'!$H23=0,'ריכוז תברים'!$J23=0,'ריכוז תברים'!$L23=0,'ריכוז תברים'!$N23=0,'ריכוז תברים'!$T23=0)),"",P111)</f>
        <v/>
      </c>
      <c r="M111" s="571"/>
      <c r="N111" s="282"/>
      <c r="P111" s="42" t="s">
        <v>57</v>
      </c>
    </row>
    <row r="112" spans="1:16" x14ac:dyDescent="0.2">
      <c r="A112" s="485">
        <v>75</v>
      </c>
      <c r="B112" s="366" t="s">
        <v>42</v>
      </c>
      <c r="C112" s="366" t="s">
        <v>74</v>
      </c>
      <c r="D112" s="316">
        <f t="shared" si="2"/>
        <v>2017</v>
      </c>
      <c r="E112" s="317">
        <f>'ריכוז תברים'!D24</f>
        <v>2</v>
      </c>
      <c r="F112" s="303"/>
      <c r="G112" s="315"/>
      <c r="H112" s="451"/>
      <c r="I112" s="317"/>
      <c r="J112" s="569" t="str">
        <f>IF(OR('ריכוז תברים'!$D24&lt;&gt;0,AND('ריכוז תברים'!$F24=0,'ריכוז תברים'!$H24=0,'ריכוז תברים'!$J24=0,'ריכוז תברים'!$L24=0,'ריכוז תברים'!$N24=0,'ריכוז תברים'!$T24=0)),$B$3,"")</f>
        <v>תקין</v>
      </c>
      <c r="K112" s="567"/>
      <c r="L112" s="570" t="str">
        <f>IF(OR('ריכוז תברים'!$D24&lt;&gt;0,AND('ריכוז תברים'!$F24=0,'ריכוז תברים'!$H24=0,'ריכוז תברים'!$J24=0,'ריכוז תברים'!$L24=0,'ריכוז תברים'!$N24=0,'ריכוז תברים'!$T24=0)),"",P112)</f>
        <v/>
      </c>
      <c r="M112" s="571"/>
      <c r="N112" s="282"/>
      <c r="P112" s="42" t="s">
        <v>57</v>
      </c>
    </row>
    <row r="113" spans="1:16" x14ac:dyDescent="0.2">
      <c r="A113" s="485">
        <v>76</v>
      </c>
      <c r="B113" s="366" t="s">
        <v>42</v>
      </c>
      <c r="C113" s="366" t="s">
        <v>75</v>
      </c>
      <c r="D113" s="316">
        <f t="shared" si="2"/>
        <v>2017</v>
      </c>
      <c r="E113" s="317">
        <f>'ריכוז תברים'!D25</f>
        <v>2</v>
      </c>
      <c r="F113" s="303"/>
      <c r="G113" s="315"/>
      <c r="H113" s="451"/>
      <c r="I113" s="317"/>
      <c r="J113" s="569" t="str">
        <f>IF(OR('ריכוז תברים'!$D25&lt;&gt;0,AND('ריכוז תברים'!$F25=0,'ריכוז תברים'!$H25=0,'ריכוז תברים'!$J25=0,'ריכוז תברים'!$L25=0,'ריכוז תברים'!$N25=0,'ריכוז תברים'!$T25=0)),$B$3,"")</f>
        <v>תקין</v>
      </c>
      <c r="K113" s="567"/>
      <c r="L113" s="570" t="str">
        <f>IF(OR('ריכוז תברים'!$D25&lt;&gt;0,AND('ריכוז תברים'!$F25=0,'ריכוז תברים'!$H25=0,'ריכוז תברים'!$J25=0,'ריכוז תברים'!$L25=0,'ריכוז תברים'!$N25=0,'ריכוז תברים'!$T25=0)),"",P113)</f>
        <v/>
      </c>
      <c r="M113" s="571"/>
      <c r="N113" s="282"/>
      <c r="P113" s="42" t="s">
        <v>57</v>
      </c>
    </row>
    <row r="114" spans="1:16" x14ac:dyDescent="0.2">
      <c r="A114" s="485">
        <v>77</v>
      </c>
      <c r="B114" s="366" t="s">
        <v>42</v>
      </c>
      <c r="C114" s="366" t="s">
        <v>76</v>
      </c>
      <c r="D114" s="316">
        <f t="shared" si="2"/>
        <v>2017</v>
      </c>
      <c r="E114" s="317">
        <f>'ריכוז תברים'!D26</f>
        <v>0</v>
      </c>
      <c r="F114" s="303"/>
      <c r="G114" s="315"/>
      <c r="H114" s="451"/>
      <c r="I114" s="317"/>
      <c r="J114" s="569" t="str">
        <f>IF(OR('ריכוז תברים'!$D26&lt;&gt;0,AND('ריכוז תברים'!$F26=0,'ריכוז תברים'!$H26=0,'ריכוז תברים'!$J26=0,'ריכוז תברים'!$L26=0,'ריכוז תברים'!$N26=0,'ריכוז תברים'!$T26=0)),$B$3,"")</f>
        <v>תקין</v>
      </c>
      <c r="K114" s="567"/>
      <c r="L114" s="570" t="str">
        <f>IF(OR('ריכוז תברים'!$D26&lt;&gt;0,AND('ריכוז תברים'!$F26=0,'ריכוז תברים'!$H26=0,'ריכוז תברים'!$J26=0,'ריכוז תברים'!$L26=0,'ריכוז תברים'!$N26=0,'ריכוז תברים'!$T26=0)),"",P114)</f>
        <v/>
      </c>
      <c r="M114" s="571"/>
      <c r="N114" s="282"/>
      <c r="P114" s="42" t="s">
        <v>57</v>
      </c>
    </row>
    <row r="115" spans="1:16" x14ac:dyDescent="0.2">
      <c r="A115" s="485">
        <v>78</v>
      </c>
      <c r="B115" s="366" t="s">
        <v>42</v>
      </c>
      <c r="C115" s="366" t="s">
        <v>77</v>
      </c>
      <c r="D115" s="316">
        <f t="shared" si="2"/>
        <v>2017</v>
      </c>
      <c r="E115" s="317">
        <f>'ריכוז תברים'!D27</f>
        <v>0</v>
      </c>
      <c r="F115" s="303"/>
      <c r="G115" s="315"/>
      <c r="H115" s="451"/>
      <c r="I115" s="317"/>
      <c r="J115" s="569" t="str">
        <f>IF(OR('ריכוז תברים'!$D27&lt;&gt;0,AND('ריכוז תברים'!$F27=0,'ריכוז תברים'!$H27=0,'ריכוז תברים'!$J27=0,'ריכוז תברים'!$L27=0,'ריכוז תברים'!$N27=0,'ריכוז תברים'!$T27=0)),$B$3,"")</f>
        <v>תקין</v>
      </c>
      <c r="K115" s="567"/>
      <c r="L115" s="570" t="str">
        <f>IF(OR('ריכוז תברים'!$D27&lt;&gt;0,AND('ריכוז תברים'!$F27=0,'ריכוז תברים'!$H27=0,'ריכוז תברים'!$J27=0,'ריכוז תברים'!$L27=0,'ריכוז תברים'!$N27=0,'ריכוז תברים'!$T27=0)),"",P115)</f>
        <v/>
      </c>
      <c r="M115" s="571"/>
      <c r="N115" s="282"/>
      <c r="P115" s="42" t="s">
        <v>57</v>
      </c>
    </row>
    <row r="116" spans="1:16" x14ac:dyDescent="0.2">
      <c r="A116" s="485">
        <v>79</v>
      </c>
      <c r="B116" s="366" t="s">
        <v>42</v>
      </c>
      <c r="C116" s="366" t="s">
        <v>78</v>
      </c>
      <c r="D116" s="316">
        <f t="shared" si="2"/>
        <v>2017</v>
      </c>
      <c r="E116" s="317">
        <f>'ריכוז תברים'!D28</f>
        <v>1</v>
      </c>
      <c r="F116" s="303"/>
      <c r="G116" s="315"/>
      <c r="H116" s="451"/>
      <c r="I116" s="317"/>
      <c r="J116" s="569" t="str">
        <f>IF(OR('ריכוז תברים'!$D28&lt;&gt;0,AND('ריכוז תברים'!$F28=0,'ריכוז תברים'!$H28=0,'ריכוז תברים'!$J28=0,'ריכוז תברים'!$L28=0,'ריכוז תברים'!$N28=0,'ריכוז תברים'!$T28=0)),$B$3,"")</f>
        <v>תקין</v>
      </c>
      <c r="K116" s="567"/>
      <c r="L116" s="570" t="str">
        <f>IF(OR('ריכוז תברים'!$D28&lt;&gt;0,AND('ריכוז תברים'!$F28=0,'ריכוז תברים'!$H28=0,'ריכוז תברים'!$J28=0,'ריכוז תברים'!$L28=0,'ריכוז תברים'!$N28=0,'ריכוז תברים'!$T28=0)),"",P116)</f>
        <v/>
      </c>
      <c r="M116" s="571"/>
      <c r="N116" s="282"/>
      <c r="P116" s="42" t="s">
        <v>57</v>
      </c>
    </row>
    <row r="117" spans="1:16" x14ac:dyDescent="0.2">
      <c r="A117" s="485">
        <v>80</v>
      </c>
      <c r="B117" s="366" t="s">
        <v>42</v>
      </c>
      <c r="C117" s="366" t="s">
        <v>79</v>
      </c>
      <c r="D117" s="316">
        <f t="shared" si="2"/>
        <v>2017</v>
      </c>
      <c r="E117" s="317">
        <f>'ריכוז תברים'!D29</f>
        <v>0</v>
      </c>
      <c r="F117" s="303"/>
      <c r="G117" s="315"/>
      <c r="H117" s="451"/>
      <c r="I117" s="317"/>
      <c r="J117" s="569" t="str">
        <f>IF(OR('ריכוז תברים'!$D29&lt;&gt;0,AND('ריכוז תברים'!$F29=0,'ריכוז תברים'!$H29=0,'ריכוז תברים'!$J29=0,'ריכוז תברים'!$L29=0,'ריכוז תברים'!$N29=0,'ריכוז תברים'!$T29=0)),$B$3,"")</f>
        <v>תקין</v>
      </c>
      <c r="K117" s="567"/>
      <c r="L117" s="570" t="str">
        <f>IF(OR('ריכוז תברים'!$D29&lt;&gt;0,AND('ריכוז תברים'!$F29=0,'ריכוז תברים'!$H29=0,'ריכוז תברים'!$J29=0,'ריכוז תברים'!$L29=0,'ריכוז תברים'!$N29=0,'ריכוז תברים'!$T29=0)),"",P117)</f>
        <v/>
      </c>
      <c r="M117" s="571"/>
      <c r="N117" s="282"/>
      <c r="P117" s="42" t="s">
        <v>57</v>
      </c>
    </row>
    <row r="118" spans="1:16" x14ac:dyDescent="0.2">
      <c r="A118" s="485">
        <v>81</v>
      </c>
      <c r="B118" s="366" t="s">
        <v>42</v>
      </c>
      <c r="C118" s="366" t="s">
        <v>80</v>
      </c>
      <c r="D118" s="316">
        <f t="shared" si="2"/>
        <v>2017</v>
      </c>
      <c r="E118" s="317">
        <f>'ריכוז תברים'!D30</f>
        <v>12</v>
      </c>
      <c r="F118" s="303"/>
      <c r="G118" s="315"/>
      <c r="H118" s="451"/>
      <c r="I118" s="317"/>
      <c r="J118" s="569" t="str">
        <f>IF(OR('ריכוז תברים'!$D30&lt;&gt;0,AND('ריכוז תברים'!$F30=0,'ריכוז תברים'!$H30=0,'ריכוז תברים'!$J30=0,'ריכוז תברים'!$L30=0,'ריכוז תברים'!$N30=0,'ריכוז תברים'!$T30=0)),$B$3,"")</f>
        <v>תקין</v>
      </c>
      <c r="K118" s="567"/>
      <c r="L118" s="570" t="str">
        <f>IF(OR('ריכוז תברים'!$D30&lt;&gt;0,AND('ריכוז תברים'!$F30=0,'ריכוז תברים'!$H30=0,'ריכוז תברים'!$J30=0,'ריכוז תברים'!$L30=0,'ריכוז תברים'!$N30=0,'ריכוז תברים'!$T30=0)),"",P118)</f>
        <v/>
      </c>
      <c r="M118" s="571"/>
      <c r="N118" s="282"/>
      <c r="P118" s="42" t="s">
        <v>57</v>
      </c>
    </row>
    <row r="119" spans="1:16" x14ac:dyDescent="0.2">
      <c r="A119" s="485">
        <v>82</v>
      </c>
      <c r="B119" s="366" t="s">
        <v>42</v>
      </c>
      <c r="C119" s="366" t="s">
        <v>81</v>
      </c>
      <c r="D119" s="316">
        <f t="shared" si="2"/>
        <v>2017</v>
      </c>
      <c r="E119" s="317">
        <f>'ריכוז תברים'!D31</f>
        <v>0</v>
      </c>
      <c r="F119" s="303"/>
      <c r="G119" s="315"/>
      <c r="H119" s="451"/>
      <c r="I119" s="317"/>
      <c r="J119" s="307" t="str">
        <f>IF(OR('ריכוז תברים'!$D31&lt;&gt;0,AND('ריכוז תברים'!$F31=0,'ריכוז תברים'!$H31=0,'ריכוז תברים'!$J31=0,'ריכוז תברים'!$L31=0,'ריכוז תברים'!$N31=0,'ריכוז תברים'!$T31=0)),$B$3,"")</f>
        <v>תקין</v>
      </c>
      <c r="K119" s="537"/>
      <c r="L119" s="314" t="str">
        <f>IF(OR('ריכוז תברים'!$D31&lt;&gt;0,AND('ריכוז תברים'!$F31=0,'ריכוז תברים'!$H31=0,'ריכוז תברים'!$J31=0,'ריכוז תברים'!$L31=0,'ריכוז תברים'!$N31=0,'ריכוז תברים'!$T31=0)),"",P119)</f>
        <v/>
      </c>
      <c r="M119" s="557"/>
      <c r="N119" s="282"/>
      <c r="P119" s="42" t="s">
        <v>57</v>
      </c>
    </row>
    <row r="120" spans="1:16" x14ac:dyDescent="0.2">
      <c r="A120" s="485">
        <v>83</v>
      </c>
      <c r="B120" s="366" t="s">
        <v>42</v>
      </c>
      <c r="C120" s="366" t="s">
        <v>82</v>
      </c>
      <c r="D120" s="316">
        <f t="shared" si="2"/>
        <v>2017</v>
      </c>
      <c r="E120" s="317">
        <f>'ריכוז תברים'!D32</f>
        <v>0</v>
      </c>
      <c r="F120" s="303"/>
      <c r="G120" s="315"/>
      <c r="H120" s="451"/>
      <c r="I120" s="317"/>
      <c r="J120" s="307" t="str">
        <f>IF(OR('ריכוז תברים'!$D32&lt;&gt;0,AND('ריכוז תברים'!$F32=0,'ריכוז תברים'!$H32=0,'ריכוז תברים'!$J32=0,'ריכוז תברים'!$L32=0,'ריכוז תברים'!$N32=0,'ריכוז תברים'!$T32=0)),$B$3,"")</f>
        <v>תקין</v>
      </c>
      <c r="K120" s="537"/>
      <c r="L120" s="314" t="str">
        <f>IF(OR('ריכוז תברים'!$D32&lt;&gt;0,AND('ריכוז תברים'!$F32=0,'ריכוז תברים'!$H32=0,'ריכוז תברים'!$J32=0,'ריכוז תברים'!$L32=0,'ריכוז תברים'!$N32=0,'ריכוז תברים'!$T32=0)),"",P120)</f>
        <v/>
      </c>
      <c r="M120" s="557"/>
      <c r="N120" s="282"/>
      <c r="P120" s="42" t="s">
        <v>57</v>
      </c>
    </row>
    <row r="121" spans="1:16" x14ac:dyDescent="0.2">
      <c r="A121" s="485">
        <v>84</v>
      </c>
      <c r="B121" s="366" t="s">
        <v>42</v>
      </c>
      <c r="C121" s="366" t="s">
        <v>83</v>
      </c>
      <c r="D121" s="316">
        <f t="shared" si="2"/>
        <v>2017</v>
      </c>
      <c r="E121" s="317">
        <f>'ריכוז תברים'!D33</f>
        <v>0</v>
      </c>
      <c r="F121" s="303"/>
      <c r="G121" s="315"/>
      <c r="H121" s="451"/>
      <c r="I121" s="317"/>
      <c r="J121" s="307" t="str">
        <f>IF(OR('ריכוז תברים'!$D33&lt;&gt;0,AND('ריכוז תברים'!$F33=0,'ריכוז תברים'!$H33=0,'ריכוז תברים'!$J33=0,'ריכוז תברים'!$L33=0,'ריכוז תברים'!$N33=0,'ריכוז תברים'!$T33=0)),$B$3,"")</f>
        <v>תקין</v>
      </c>
      <c r="K121" s="537"/>
      <c r="L121" s="314" t="str">
        <f>IF(OR('ריכוז תברים'!$D33&lt;&gt;0,AND('ריכוז תברים'!$F33=0,'ריכוז תברים'!$H33=0,'ריכוז תברים'!$J33=0,'ריכוז תברים'!$L33=0,'ריכוז תברים'!$N33=0,'ריכוז תברים'!$T33=0)),"",P121)</f>
        <v/>
      </c>
      <c r="M121" s="557"/>
      <c r="N121" s="282"/>
      <c r="P121" s="42" t="s">
        <v>57</v>
      </c>
    </row>
    <row r="122" spans="1:16" x14ac:dyDescent="0.2">
      <c r="A122" s="485">
        <v>85</v>
      </c>
      <c r="B122" s="366" t="s">
        <v>42</v>
      </c>
      <c r="C122" s="366" t="s">
        <v>84</v>
      </c>
      <c r="D122" s="316">
        <f t="shared" si="2"/>
        <v>2017</v>
      </c>
      <c r="E122" s="317">
        <f>'ריכוז תברים'!D34</f>
        <v>1</v>
      </c>
      <c r="F122" s="303"/>
      <c r="G122" s="315"/>
      <c r="H122" s="451"/>
      <c r="I122" s="317"/>
      <c r="J122" s="307" t="str">
        <f>IF(OR('ריכוז תברים'!$D34&lt;&gt;0,AND('ריכוז תברים'!$F34=0,'ריכוז תברים'!$H34=0,'ריכוז תברים'!$J34=0,'ריכוז תברים'!$L34=0,'ריכוז תברים'!$N34=0,'ריכוז תברים'!$T34=0)),$B$3,"")</f>
        <v>תקין</v>
      </c>
      <c r="K122" s="537"/>
      <c r="L122" s="314" t="str">
        <f>IF(OR('ריכוז תברים'!$D34&lt;&gt;0,AND('ריכוז תברים'!$F34=0,'ריכוז תברים'!$H34=0,'ריכוז תברים'!$J34=0,'ריכוז תברים'!$L34=0,'ריכוז תברים'!$N34=0,'ריכוז תברים'!$T34=0)),"",P122)</f>
        <v/>
      </c>
      <c r="M122" s="557"/>
      <c r="N122" s="282"/>
      <c r="P122" s="42" t="s">
        <v>57</v>
      </c>
    </row>
    <row r="123" spans="1:16" x14ac:dyDescent="0.2">
      <c r="A123" s="485">
        <v>86</v>
      </c>
      <c r="B123" s="366" t="s">
        <v>42</v>
      </c>
      <c r="C123" s="366" t="s">
        <v>85</v>
      </c>
      <c r="D123" s="316">
        <f t="shared" si="2"/>
        <v>2017</v>
      </c>
      <c r="E123" s="317">
        <f>'ריכוז תברים'!D35</f>
        <v>0</v>
      </c>
      <c r="F123" s="303"/>
      <c r="G123" s="315"/>
      <c r="H123" s="451"/>
      <c r="I123" s="317"/>
      <c r="J123" s="307" t="str">
        <f>IF(OR('ריכוז תברים'!$D35&lt;&gt;0,AND('ריכוז תברים'!$F35=0,'ריכוז תברים'!$H35=0,'ריכוז תברים'!$J35=0,'ריכוז תברים'!$L35=0,'ריכוז תברים'!$N35=0,'ריכוז תברים'!$T35=0)),$B$3,"")</f>
        <v>תקין</v>
      </c>
      <c r="K123" s="537"/>
      <c r="L123" s="314" t="str">
        <f>IF(OR('ריכוז תברים'!$D35&lt;&gt;0,AND('ריכוז תברים'!$F35=0,'ריכוז תברים'!$H35=0,'ריכוז תברים'!$J35=0,'ריכוז תברים'!$L35=0,'ריכוז תברים'!$N35=0,'ריכוז תברים'!$T35=0)),"",P123)</f>
        <v/>
      </c>
      <c r="M123" s="557"/>
      <c r="N123" s="282"/>
      <c r="P123" s="42" t="s">
        <v>57</v>
      </c>
    </row>
    <row r="124" spans="1:16" x14ac:dyDescent="0.2">
      <c r="A124" s="485">
        <v>87</v>
      </c>
      <c r="B124" s="366" t="s">
        <v>42</v>
      </c>
      <c r="C124" s="366" t="s">
        <v>86</v>
      </c>
      <c r="D124" s="316">
        <f t="shared" si="2"/>
        <v>2017</v>
      </c>
      <c r="E124" s="317">
        <f>'ריכוז תברים'!D36</f>
        <v>0</v>
      </c>
      <c r="F124" s="303"/>
      <c r="G124" s="315"/>
      <c r="H124" s="451"/>
      <c r="I124" s="317"/>
      <c r="J124" s="307" t="str">
        <f>IF(OR('ריכוז תברים'!$D36&lt;&gt;0,AND('ריכוז תברים'!$F36=0,'ריכוז תברים'!$H36=0,'ריכוז תברים'!$J36=0,'ריכוז תברים'!$L36=0,'ריכוז תברים'!$N36=0,'ריכוז תברים'!$T36=0)),$B$3,"")</f>
        <v>תקין</v>
      </c>
      <c r="K124" s="537"/>
      <c r="L124" s="314" t="str">
        <f>IF(OR('ריכוז תברים'!$D36&lt;&gt;0,AND('ריכוז תברים'!$F36=0,'ריכוז תברים'!$H36=0,'ריכוז תברים'!$J36=0,'ריכוז תברים'!$L36=0,'ריכוז תברים'!$N36=0,'ריכוז תברים'!$T36=0)),"",P124)</f>
        <v/>
      </c>
      <c r="M124" s="557"/>
      <c r="N124" s="282"/>
      <c r="P124" s="42" t="s">
        <v>57</v>
      </c>
    </row>
    <row r="125" spans="1:16" x14ac:dyDescent="0.2">
      <c r="A125" s="485">
        <v>88</v>
      </c>
      <c r="B125" s="366" t="s">
        <v>42</v>
      </c>
      <c r="C125" s="366" t="s">
        <v>87</v>
      </c>
      <c r="D125" s="316">
        <f t="shared" si="2"/>
        <v>2017</v>
      </c>
      <c r="E125" s="321">
        <f>'ריכוז תברים'!F8</f>
        <v>0</v>
      </c>
      <c r="F125" s="333"/>
      <c r="G125" s="334"/>
      <c r="H125" s="445"/>
      <c r="I125" s="321"/>
      <c r="J125" s="307" t="str">
        <f>IF(OR('ריכוז תברים'!$F9&lt;&gt;0,AND('ריכוז תברים'!$F9=0,'ריכוז תברים'!$H9=0,'ריכוז תברים'!$J9=0,'ריכוז תברים'!$L9=0,'ריכוז תברים'!$N9=0,'ריכוז תברים'!$T9=0)),$B$3,"")</f>
        <v>תקין</v>
      </c>
      <c r="K125" s="546"/>
      <c r="L125" s="314" t="str">
        <f>IF(OR('ריכוז תברים'!$D9&lt;&gt;0,AND('ריכוז תברים'!$F9=0,'ריכוז תברים'!$H9=0,'ריכוז תברים'!$J9=0,'ריכוז תברים'!$L9=0,'ריכוז תברים'!$N9=0,'ריכוז תברים'!$T9=0)),"",P125)</f>
        <v/>
      </c>
      <c r="M125" s="557"/>
      <c r="N125" s="282"/>
      <c r="P125" s="42" t="s">
        <v>88</v>
      </c>
    </row>
    <row r="126" spans="1:16" x14ac:dyDescent="0.2">
      <c r="A126" s="485">
        <v>89</v>
      </c>
      <c r="B126" s="366" t="s">
        <v>42</v>
      </c>
      <c r="C126" s="366" t="s">
        <v>89</v>
      </c>
      <c r="D126" s="316">
        <f t="shared" si="2"/>
        <v>2017</v>
      </c>
      <c r="E126" s="321">
        <f>'ריכוז תברים'!F9</f>
        <v>0</v>
      </c>
      <c r="F126" s="333"/>
      <c r="G126" s="334"/>
      <c r="H126" s="445"/>
      <c r="I126" s="321"/>
      <c r="J126" s="338" t="str">
        <f>IF(OR('ריכוז תברים'!$F10&lt;&gt;0,AND('ריכוז תברים'!$F10=0,'ריכוז תברים'!$H10=0,'ריכוז תברים'!$J10=0,'ריכוז תברים'!$L10=0,'ריכוז תברים'!$N10=0,'ריכוז תברים'!$T10=0)),$B$3,"")</f>
        <v>תקין</v>
      </c>
      <c r="K126" s="546"/>
      <c r="L126" s="340" t="str">
        <f>IF(OR('ריכוז תברים'!$D10&lt;&gt;0,AND('ריכוז תברים'!$F10=0,'ריכוז תברים'!$H10=0,'ריכוז תברים'!$J10=0,'ריכוז תברים'!$L10=0,'ריכוז תברים'!$N10=0,'ריכוז תברים'!$T10=0)),"",P126)</f>
        <v/>
      </c>
      <c r="M126" s="558"/>
      <c r="N126" s="282"/>
      <c r="P126" s="42" t="s">
        <v>88</v>
      </c>
    </row>
    <row r="127" spans="1:16" x14ac:dyDescent="0.2">
      <c r="A127" s="485">
        <v>90</v>
      </c>
      <c r="B127" s="366" t="s">
        <v>42</v>
      </c>
      <c r="C127" s="366" t="s">
        <v>90</v>
      </c>
      <c r="D127" s="316">
        <f t="shared" si="2"/>
        <v>2017</v>
      </c>
      <c r="E127" s="321">
        <f>'ריכוז תברים'!F10</f>
        <v>0</v>
      </c>
      <c r="F127" s="333"/>
      <c r="G127" s="334"/>
      <c r="H127" s="445"/>
      <c r="I127" s="321"/>
      <c r="J127" s="338" t="str">
        <f>IF(OR('ריכוז תברים'!$F11&lt;&gt;0,AND('ריכוז תברים'!$F11=0,'ריכוז תברים'!$H11=0,'ריכוז תברים'!$J11=0,'ריכוז תברים'!$L11=0,'ריכוז תברים'!$N11=0,'ריכוז תברים'!$T11=0)),$B$3,"")</f>
        <v>תקין</v>
      </c>
      <c r="K127" s="546"/>
      <c r="L127" s="340" t="str">
        <f>IF(OR('ריכוז תברים'!$D11&lt;&gt;0,AND('ריכוז תברים'!$F11=0,'ריכוז תברים'!$H11=0,'ריכוז תברים'!$J11=0,'ריכוז תברים'!$L11=0,'ריכוז תברים'!$N11=0,'ריכוז תברים'!$T11=0)),"",P127)</f>
        <v/>
      </c>
      <c r="M127" s="558"/>
      <c r="N127" s="282"/>
      <c r="P127" s="42" t="s">
        <v>88</v>
      </c>
    </row>
    <row r="128" spans="1:16" x14ac:dyDescent="0.2">
      <c r="A128" s="485">
        <v>91</v>
      </c>
      <c r="B128" s="366" t="s">
        <v>42</v>
      </c>
      <c r="C128" s="366" t="s">
        <v>91</v>
      </c>
      <c r="D128" s="316">
        <f t="shared" si="2"/>
        <v>2017</v>
      </c>
      <c r="E128" s="321">
        <f>'ריכוז תברים'!F11</f>
        <v>0</v>
      </c>
      <c r="F128" s="333"/>
      <c r="G128" s="334"/>
      <c r="H128" s="445"/>
      <c r="I128" s="321"/>
      <c r="J128" s="338" t="str">
        <f>IF(OR('ריכוז תברים'!$F12&lt;&gt;0,AND('ריכוז תברים'!$F12=0,'ריכוז תברים'!$H12=0,'ריכוז תברים'!$J12=0,'ריכוז תברים'!$L12=0,'ריכוז תברים'!$N12=0,'ריכוז תברים'!$T12=0)),$B$3,"")</f>
        <v>תקין</v>
      </c>
      <c r="K128" s="546"/>
      <c r="L128" s="340" t="str">
        <f>IF(OR('ריכוז תברים'!$D12&lt;&gt;0,AND('ריכוז תברים'!$F12=0,'ריכוז תברים'!$H12=0,'ריכוז תברים'!$J12=0,'ריכוז תברים'!$L12=0,'ריכוז תברים'!$N12=0,'ריכוז תברים'!$T12=0)),"",P128)</f>
        <v/>
      </c>
      <c r="M128" s="558"/>
      <c r="N128" s="282"/>
      <c r="P128" s="42" t="s">
        <v>88</v>
      </c>
    </row>
    <row r="129" spans="1:16" x14ac:dyDescent="0.2">
      <c r="A129" s="485">
        <v>92</v>
      </c>
      <c r="B129" s="366" t="s">
        <v>42</v>
      </c>
      <c r="C129" s="366" t="s">
        <v>92</v>
      </c>
      <c r="D129" s="316">
        <f t="shared" si="2"/>
        <v>2017</v>
      </c>
      <c r="E129" s="321">
        <f>'ריכוז תברים'!F12</f>
        <v>25631</v>
      </c>
      <c r="F129" s="333"/>
      <c r="G129" s="334"/>
      <c r="H129" s="445"/>
      <c r="I129" s="321"/>
      <c r="J129" s="338" t="str">
        <f>IF(OR('ריכוז תברים'!$F13&lt;&gt;0,AND('ריכוז תברים'!$F13=0,'ריכוז תברים'!$H13=0,'ריכוז תברים'!$J13=0,'ריכוז תברים'!$L13=0,'ריכוז תברים'!$N13=0,'ריכוז תברים'!$T13=0)),$B$3,"")</f>
        <v>תקין</v>
      </c>
      <c r="K129" s="546"/>
      <c r="L129" s="340" t="str">
        <f>IF(OR('ריכוז תברים'!$D13&lt;&gt;0,AND('ריכוז תברים'!$F13=0,'ריכוז תברים'!$H13=0,'ריכוז תברים'!$J13=0,'ריכוז תברים'!$L13=0,'ריכוז תברים'!$N13=0,'ריכוז תברים'!$T13=0)),"",P129)</f>
        <v/>
      </c>
      <c r="M129" s="558"/>
      <c r="N129" s="282"/>
      <c r="P129" s="42" t="s">
        <v>88</v>
      </c>
    </row>
    <row r="130" spans="1:16" x14ac:dyDescent="0.2">
      <c r="A130" s="485">
        <v>93</v>
      </c>
      <c r="B130" s="366" t="s">
        <v>42</v>
      </c>
      <c r="C130" s="366" t="s">
        <v>93</v>
      </c>
      <c r="D130" s="316">
        <f t="shared" si="2"/>
        <v>2017</v>
      </c>
      <c r="E130" s="321">
        <f>'ריכוז תברים'!F13</f>
        <v>1927</v>
      </c>
      <c r="F130" s="333"/>
      <c r="G130" s="334"/>
      <c r="H130" s="445"/>
      <c r="I130" s="321"/>
      <c r="J130" s="338" t="str">
        <f>IF(OR('ריכוז תברים'!$F14&lt;&gt;0,AND('ריכוז תברים'!$F14=0,'ריכוז תברים'!$H14=0,'ריכוז תברים'!$J14=0,'ריכוז תברים'!$L14=0,'ריכוז תברים'!$N14=0,'ריכוז תברים'!$T14=0)),$B$3,"")</f>
        <v>תקין</v>
      </c>
      <c r="K130" s="546"/>
      <c r="L130" s="340" t="str">
        <f>IF(OR('ריכוז תברים'!$D14&lt;&gt;0,AND('ריכוז תברים'!$F14=0,'ריכוז תברים'!$H14=0,'ריכוז תברים'!$J14=0,'ריכוז תברים'!$L14=0,'ריכוז תברים'!$N14=0,'ריכוז תברים'!$T14=0)),"",P130)</f>
        <v/>
      </c>
      <c r="M130" s="558"/>
      <c r="N130" s="282"/>
      <c r="P130" s="42" t="s">
        <v>88</v>
      </c>
    </row>
    <row r="131" spans="1:16" x14ac:dyDescent="0.2">
      <c r="A131" s="485">
        <v>94</v>
      </c>
      <c r="B131" s="366" t="s">
        <v>42</v>
      </c>
      <c r="C131" s="366" t="s">
        <v>94</v>
      </c>
      <c r="D131" s="316">
        <f t="shared" si="2"/>
        <v>2017</v>
      </c>
      <c r="E131" s="321">
        <f>'ריכוז תברים'!F14</f>
        <v>3540</v>
      </c>
      <c r="F131" s="333"/>
      <c r="G131" s="334"/>
      <c r="H131" s="445"/>
      <c r="I131" s="321"/>
      <c r="J131" s="338" t="str">
        <f>IF(OR('ריכוז תברים'!$F15&lt;&gt;0,AND('ריכוז תברים'!$F15=0,'ריכוז תברים'!$H15=0,'ריכוז תברים'!$J15=0,'ריכוז תברים'!$L15=0,'ריכוז תברים'!$N15=0,'ריכוז תברים'!$T15=0)),$B$3,"")</f>
        <v>תקין</v>
      </c>
      <c r="K131" s="546"/>
      <c r="L131" s="340" t="str">
        <f>IF(OR('ריכוז תברים'!$D15&lt;&gt;0,AND('ריכוז תברים'!$F15=0,'ריכוז תברים'!$H15=0,'ריכוז תברים'!$J15=0,'ריכוז תברים'!$L15=0,'ריכוז תברים'!$N15=0,'ריכוז תברים'!$T15=0)),"",P131)</f>
        <v/>
      </c>
      <c r="M131" s="558"/>
      <c r="N131" s="282"/>
      <c r="P131" s="42" t="s">
        <v>88</v>
      </c>
    </row>
    <row r="132" spans="1:16" x14ac:dyDescent="0.2">
      <c r="A132" s="485">
        <v>95</v>
      </c>
      <c r="B132" s="366" t="s">
        <v>42</v>
      </c>
      <c r="C132" s="366" t="s">
        <v>95</v>
      </c>
      <c r="D132" s="316">
        <f t="shared" si="2"/>
        <v>2017</v>
      </c>
      <c r="E132" s="321">
        <f>'ריכוז תברים'!F15</f>
        <v>69137</v>
      </c>
      <c r="F132" s="333"/>
      <c r="G132" s="334"/>
      <c r="H132" s="445"/>
      <c r="I132" s="321"/>
      <c r="J132" s="338" t="str">
        <f>IF(OR('ריכוז תברים'!$F16&lt;&gt;0,AND('ריכוז תברים'!$F16=0,'ריכוז תברים'!$H16=0,'ריכוז תברים'!$J16=0,'ריכוז תברים'!$L16=0,'ריכוז תברים'!$N16=0,'ריכוז תברים'!$T16=0)),$B$3,"")</f>
        <v>תקין</v>
      </c>
      <c r="K132" s="546"/>
      <c r="L132" s="340" t="str">
        <f>IF(OR('ריכוז תברים'!$D16&lt;&gt;0,AND('ריכוז תברים'!$F16=0,'ריכוז תברים'!$H16=0,'ריכוז תברים'!$J16=0,'ריכוז תברים'!$L16=0,'ריכוז תברים'!$N16=0,'ריכוז תברים'!$T16=0)),"",P132)</f>
        <v/>
      </c>
      <c r="M132" s="558"/>
      <c r="N132" s="282"/>
      <c r="P132" s="42" t="s">
        <v>88</v>
      </c>
    </row>
    <row r="133" spans="1:16" x14ac:dyDescent="0.2">
      <c r="A133" s="485">
        <v>96</v>
      </c>
      <c r="B133" s="366" t="s">
        <v>42</v>
      </c>
      <c r="C133" s="366" t="s">
        <v>96</v>
      </c>
      <c r="D133" s="316">
        <f t="shared" si="2"/>
        <v>2017</v>
      </c>
      <c r="E133" s="321">
        <f>'ריכוז תברים'!F16</f>
        <v>0</v>
      </c>
      <c r="F133" s="333"/>
      <c r="G133" s="334"/>
      <c r="H133" s="445"/>
      <c r="I133" s="321"/>
      <c r="J133" s="338" t="str">
        <f>IF(OR('ריכוז תברים'!$F17&lt;&gt;0,AND('ריכוז תברים'!$F17=0,'ריכוז תברים'!$H17=0,'ריכוז תברים'!$J17=0,'ריכוז תברים'!$L17=0,'ריכוז תברים'!$N17=0,'ריכוז תברים'!$T17=0)),$B$3,"")</f>
        <v>תקין</v>
      </c>
      <c r="K133" s="546"/>
      <c r="L133" s="340" t="str">
        <f>IF(OR('ריכוז תברים'!$D17&lt;&gt;0,AND('ריכוז תברים'!$F17=0,'ריכוז תברים'!$H17=0,'ריכוז תברים'!$J17=0,'ריכוז תברים'!$L17=0,'ריכוז תברים'!$N17=0,'ריכוז תברים'!$T17=0)),"",P133)</f>
        <v/>
      </c>
      <c r="M133" s="558"/>
      <c r="N133" s="282"/>
      <c r="P133" s="42" t="s">
        <v>88</v>
      </c>
    </row>
    <row r="134" spans="1:16" x14ac:dyDescent="0.2">
      <c r="A134" s="485">
        <v>97</v>
      </c>
      <c r="B134" s="366" t="s">
        <v>42</v>
      </c>
      <c r="C134" s="366" t="s">
        <v>97</v>
      </c>
      <c r="D134" s="316">
        <f t="shared" si="2"/>
        <v>2017</v>
      </c>
      <c r="E134" s="321">
        <f>'ריכוז תברים'!F17</f>
        <v>360</v>
      </c>
      <c r="F134" s="333"/>
      <c r="G134" s="334"/>
      <c r="H134" s="445"/>
      <c r="I134" s="321"/>
      <c r="J134" s="338" t="str">
        <f>IF(OR('ריכוז תברים'!$F18&lt;&gt;0,AND('ריכוז תברים'!$F18=0,'ריכוז תברים'!$H18=0,'ריכוז תברים'!$J18=0,'ריכוז תברים'!$L18=0,'ריכוז תברים'!$N18=0,'ריכוז תברים'!$T18=0)),$B$3,"")</f>
        <v>תקין</v>
      </c>
      <c r="K134" s="546"/>
      <c r="L134" s="340" t="str">
        <f>IF(OR('ריכוז תברים'!$D18&lt;&gt;0,AND('ריכוז תברים'!$F18=0,'ריכוז תברים'!$H18=0,'ריכוז תברים'!$J18=0,'ריכוז תברים'!$L18=0,'ריכוז תברים'!$N18=0,'ריכוז תברים'!$T18=0)),"",P134)</f>
        <v/>
      </c>
      <c r="M134" s="558"/>
      <c r="N134" s="282"/>
      <c r="P134" s="42" t="s">
        <v>88</v>
      </c>
    </row>
    <row r="135" spans="1:16" x14ac:dyDescent="0.2">
      <c r="A135" s="485">
        <v>98</v>
      </c>
      <c r="B135" s="366" t="s">
        <v>42</v>
      </c>
      <c r="C135" s="366" t="s">
        <v>98</v>
      </c>
      <c r="D135" s="316">
        <f t="shared" si="2"/>
        <v>2017</v>
      </c>
      <c r="E135" s="321">
        <f>'ריכוז תברים'!F18</f>
        <v>1310</v>
      </c>
      <c r="F135" s="333"/>
      <c r="G135" s="334"/>
      <c r="H135" s="445"/>
      <c r="I135" s="321"/>
      <c r="J135" s="338" t="str">
        <f>IF(OR('ריכוז תברים'!$F19&lt;&gt;0,AND('ריכוז תברים'!$F19=0,'ריכוז תברים'!$H19=0,'ריכוז תברים'!$J19=0,'ריכוז תברים'!$L19=0,'ריכוז תברים'!$N19=0,'ריכוז תברים'!$T19=0)),$B$3,"")</f>
        <v>תקין</v>
      </c>
      <c r="K135" s="546"/>
      <c r="L135" s="340" t="str">
        <f>IF(OR('ריכוז תברים'!$D19&lt;&gt;0,AND('ריכוז תברים'!$F19=0,'ריכוז תברים'!$H19=0,'ריכוז תברים'!$J19=0,'ריכוז תברים'!$L19=0,'ריכוז תברים'!$N19=0,'ריכוז תברים'!$T19=0)),"",P135)</f>
        <v/>
      </c>
      <c r="M135" s="558"/>
      <c r="N135" s="282"/>
      <c r="P135" s="42" t="s">
        <v>88</v>
      </c>
    </row>
    <row r="136" spans="1:16" x14ac:dyDescent="0.2">
      <c r="A136" s="485">
        <v>99</v>
      </c>
      <c r="B136" s="366" t="s">
        <v>42</v>
      </c>
      <c r="C136" s="366" t="s">
        <v>99</v>
      </c>
      <c r="D136" s="316">
        <f t="shared" si="2"/>
        <v>2017</v>
      </c>
      <c r="E136" s="321">
        <f>'ריכוז תברים'!F19</f>
        <v>0</v>
      </c>
      <c r="F136" s="333"/>
      <c r="G136" s="334"/>
      <c r="H136" s="445"/>
      <c r="I136" s="321"/>
      <c r="J136" s="338" t="str">
        <f>IF(OR('ריכוז תברים'!$F20&lt;&gt;0,AND('ריכוז תברים'!$F20=0,'ריכוז תברים'!$H20=0,'ריכוז תברים'!$J20=0,'ריכוז תברים'!$L20=0,'ריכוז תברים'!$N20=0,'ריכוז תברים'!$T20=0)),$B$3,"")</f>
        <v>תקין</v>
      </c>
      <c r="K136" s="546"/>
      <c r="L136" s="340" t="str">
        <f>IF(OR('ריכוז תברים'!$D20&lt;&gt;0,AND('ריכוז תברים'!$F20=0,'ריכוז תברים'!$H20=0,'ריכוז תברים'!$J20=0,'ריכוז תברים'!$L20=0,'ריכוז תברים'!$N20=0,'ריכוז תברים'!$T20=0)),"",P136)</f>
        <v/>
      </c>
      <c r="M136" s="558"/>
      <c r="N136" s="282"/>
      <c r="P136" s="42" t="s">
        <v>88</v>
      </c>
    </row>
    <row r="137" spans="1:16" x14ac:dyDescent="0.2">
      <c r="A137" s="485">
        <v>100</v>
      </c>
      <c r="B137" s="366" t="s">
        <v>42</v>
      </c>
      <c r="C137" s="366" t="s">
        <v>100</v>
      </c>
      <c r="D137" s="316">
        <f t="shared" si="2"/>
        <v>2017</v>
      </c>
      <c r="E137" s="321">
        <f>'ריכוז תברים'!F20</f>
        <v>0</v>
      </c>
      <c r="F137" s="333"/>
      <c r="G137" s="334"/>
      <c r="H137" s="445"/>
      <c r="I137" s="321"/>
      <c r="J137" s="338" t="str">
        <f>IF(OR('ריכוז תברים'!$F21&lt;&gt;0,AND('ריכוז תברים'!$F21=0,'ריכוז תברים'!$H21=0,'ריכוז תברים'!$J21=0,'ריכוז תברים'!$L21=0,'ריכוז תברים'!$N21=0,'ריכוז תברים'!$T21=0)),$B$3,"")</f>
        <v>תקין</v>
      </c>
      <c r="K137" s="546"/>
      <c r="L137" s="340" t="str">
        <f>IF(OR('ריכוז תברים'!$D21&lt;&gt;0,AND('ריכוז תברים'!$F21=0,'ריכוז תברים'!$H21=0,'ריכוז תברים'!$J21=0,'ריכוז תברים'!$L21=0,'ריכוז תברים'!$N21=0,'ריכוז תברים'!$T21=0)),"",P137)</f>
        <v/>
      </c>
      <c r="M137" s="558"/>
      <c r="N137" s="282"/>
      <c r="P137" s="42" t="s">
        <v>88</v>
      </c>
    </row>
    <row r="138" spans="1:16" x14ac:dyDescent="0.2">
      <c r="A138" s="485">
        <v>101</v>
      </c>
      <c r="B138" s="366" t="s">
        <v>42</v>
      </c>
      <c r="C138" s="366" t="s">
        <v>101</v>
      </c>
      <c r="D138" s="316">
        <f t="shared" si="2"/>
        <v>2017</v>
      </c>
      <c r="E138" s="321">
        <f>'ריכוז תברים'!F21</f>
        <v>22429</v>
      </c>
      <c r="F138" s="333"/>
      <c r="G138" s="334"/>
      <c r="H138" s="445"/>
      <c r="I138" s="321"/>
      <c r="J138" s="338" t="str">
        <f>IF(OR('ריכוז תברים'!$F22&lt;&gt;0,AND('ריכוז תברים'!$F22=0,'ריכוז תברים'!$H22=0,'ריכוז תברים'!$J22=0,'ריכוז תברים'!$L22=0,'ריכוז תברים'!$N22=0,'ריכוז תברים'!$T22=0)),$B$3,"")</f>
        <v>תקין</v>
      </c>
      <c r="K138" s="546"/>
      <c r="L138" s="340" t="str">
        <f>IF(OR('ריכוז תברים'!$D22&lt;&gt;0,AND('ריכוז תברים'!$F22=0,'ריכוז תברים'!$H22=0,'ריכוז תברים'!$J22=0,'ריכוז תברים'!$L22=0,'ריכוז תברים'!$N22=0,'ריכוז תברים'!$T22=0)),"",P138)</f>
        <v/>
      </c>
      <c r="M138" s="558"/>
      <c r="N138" s="282"/>
      <c r="P138" s="42" t="s">
        <v>88</v>
      </c>
    </row>
    <row r="139" spans="1:16" x14ac:dyDescent="0.2">
      <c r="A139" s="485">
        <v>102</v>
      </c>
      <c r="B139" s="366" t="s">
        <v>42</v>
      </c>
      <c r="C139" s="366" t="s">
        <v>102</v>
      </c>
      <c r="D139" s="316">
        <f t="shared" si="2"/>
        <v>2017</v>
      </c>
      <c r="E139" s="321">
        <f>'ריכוז תברים'!F22</f>
        <v>21056</v>
      </c>
      <c r="F139" s="333"/>
      <c r="G139" s="334"/>
      <c r="H139" s="445"/>
      <c r="I139" s="321"/>
      <c r="J139" s="338" t="str">
        <f>IF(OR('ריכוז תברים'!$F23&lt;&gt;0,AND('ריכוז תברים'!$F23=0,'ריכוז תברים'!$H23=0,'ריכוז תברים'!$J23=0,'ריכוז תברים'!$L23=0,'ריכוז תברים'!$N23=0,'ריכוז תברים'!$T23=0)),$B$3,"")</f>
        <v>תקין</v>
      </c>
      <c r="K139" s="546"/>
      <c r="L139" s="340" t="str">
        <f>IF(OR('ריכוז תברים'!$D23&lt;&gt;0,AND('ריכוז תברים'!$F23=0,'ריכוז תברים'!$H23=0,'ריכוז תברים'!$J23=0,'ריכוז תברים'!$L23=0,'ריכוז תברים'!$N23=0,'ריכוז תברים'!$T23=0)),"",P139)</f>
        <v/>
      </c>
      <c r="M139" s="558"/>
      <c r="N139" s="282"/>
      <c r="P139" s="42" t="s">
        <v>88</v>
      </c>
    </row>
    <row r="140" spans="1:16" x14ac:dyDescent="0.2">
      <c r="A140" s="485">
        <v>103</v>
      </c>
      <c r="B140" s="366" t="s">
        <v>42</v>
      </c>
      <c r="C140" s="366" t="s">
        <v>103</v>
      </c>
      <c r="D140" s="316">
        <f t="shared" si="2"/>
        <v>2017</v>
      </c>
      <c r="E140" s="321">
        <f>'ריכוז תברים'!F23</f>
        <v>0</v>
      </c>
      <c r="F140" s="333"/>
      <c r="G140" s="334"/>
      <c r="H140" s="445"/>
      <c r="I140" s="321"/>
      <c r="J140" s="338" t="str">
        <f>IF(OR('ריכוז תברים'!$F24&lt;&gt;0,AND('ריכוז תברים'!$F24=0,'ריכוז תברים'!$H24=0,'ריכוז תברים'!$J24=0,'ריכוז תברים'!$L24=0,'ריכוז תברים'!$N24=0,'ריכוז תברים'!$T24=0)),$B$3,"")</f>
        <v>תקין</v>
      </c>
      <c r="K140" s="546"/>
      <c r="L140" s="340" t="str">
        <f>IF(OR('ריכוז תברים'!$D24&lt;&gt;0,AND('ריכוז תברים'!$F24=0,'ריכוז תברים'!$H24=0,'ריכוז תברים'!$J24=0,'ריכוז תברים'!$L24=0,'ריכוז תברים'!$N24=0,'ריכוז תברים'!$T24=0)),"",P140)</f>
        <v/>
      </c>
      <c r="M140" s="558"/>
      <c r="N140" s="282"/>
      <c r="P140" s="42" t="s">
        <v>88</v>
      </c>
    </row>
    <row r="141" spans="1:16" x14ac:dyDescent="0.2">
      <c r="A141" s="485">
        <v>104</v>
      </c>
      <c r="B141" s="366" t="s">
        <v>42</v>
      </c>
      <c r="C141" s="366" t="s">
        <v>104</v>
      </c>
      <c r="D141" s="316">
        <f t="shared" si="2"/>
        <v>2017</v>
      </c>
      <c r="E141" s="321">
        <f>'ריכוז תברים'!F24</f>
        <v>300</v>
      </c>
      <c r="F141" s="333"/>
      <c r="G141" s="334"/>
      <c r="H141" s="445"/>
      <c r="I141" s="321"/>
      <c r="J141" s="338" t="str">
        <f>IF(OR('ריכוז תברים'!$F25&lt;&gt;0,AND('ריכוז תברים'!$F25=0,'ריכוז תברים'!$H25=0,'ריכוז תברים'!$J25=0,'ריכוז תברים'!$L25=0,'ריכוז תברים'!$N25=0,'ריכוז תברים'!$T25=0)),$B$3,"")</f>
        <v>תקין</v>
      </c>
      <c r="K141" s="546"/>
      <c r="L141" s="340" t="str">
        <f>IF(OR('ריכוז תברים'!$D25&lt;&gt;0,AND('ריכוז תברים'!$F25=0,'ריכוז תברים'!$H25=0,'ריכוז תברים'!$J25=0,'ריכוז תברים'!$L25=0,'ריכוז תברים'!$N25=0,'ריכוז תברים'!$T25=0)),"",P141)</f>
        <v/>
      </c>
      <c r="M141" s="558"/>
      <c r="N141" s="282"/>
      <c r="P141" s="42" t="s">
        <v>88</v>
      </c>
    </row>
    <row r="142" spans="1:16" x14ac:dyDescent="0.2">
      <c r="A142" s="485">
        <v>105</v>
      </c>
      <c r="B142" s="366" t="s">
        <v>42</v>
      </c>
      <c r="C142" s="366" t="s">
        <v>105</v>
      </c>
      <c r="D142" s="316">
        <f t="shared" si="2"/>
        <v>2017</v>
      </c>
      <c r="E142" s="321">
        <f>'ריכוז תברים'!F25</f>
        <v>1684</v>
      </c>
      <c r="F142" s="333"/>
      <c r="G142" s="334"/>
      <c r="H142" s="445"/>
      <c r="I142" s="321"/>
      <c r="J142" s="338" t="str">
        <f>IF(OR('ריכוז תברים'!$F26&lt;&gt;0,AND('ריכוז תברים'!$F26=0,'ריכוז תברים'!$H26=0,'ריכוז תברים'!$J26=0,'ריכוז תברים'!$L26=0,'ריכוז תברים'!$N26=0,'ריכוז תברים'!$T26=0)),$B$3,"")</f>
        <v>תקין</v>
      </c>
      <c r="K142" s="546"/>
      <c r="L142" s="340" t="str">
        <f>IF(OR('ריכוז תברים'!$D26&lt;&gt;0,AND('ריכוז תברים'!$F26=0,'ריכוז תברים'!$H26=0,'ריכוז תברים'!$J26=0,'ריכוז תברים'!$L26=0,'ריכוז תברים'!$N26=0,'ריכוז תברים'!$T26=0)),"",P142)</f>
        <v/>
      </c>
      <c r="M142" s="558"/>
      <c r="N142" s="282"/>
      <c r="P142" s="42" t="s">
        <v>88</v>
      </c>
    </row>
    <row r="143" spans="1:16" x14ac:dyDescent="0.2">
      <c r="A143" s="485">
        <v>106</v>
      </c>
      <c r="B143" s="366" t="s">
        <v>42</v>
      </c>
      <c r="C143" s="366" t="s">
        <v>106</v>
      </c>
      <c r="D143" s="316">
        <f t="shared" si="2"/>
        <v>2017</v>
      </c>
      <c r="E143" s="321">
        <f>'ריכוז תברים'!F26</f>
        <v>0</v>
      </c>
      <c r="F143" s="333"/>
      <c r="G143" s="334"/>
      <c r="H143" s="445"/>
      <c r="I143" s="321"/>
      <c r="J143" s="338" t="str">
        <f>IF(OR('ריכוז תברים'!$F27&lt;&gt;0,AND('ריכוז תברים'!$F27=0,'ריכוז תברים'!$H27=0,'ריכוז תברים'!$J27=0,'ריכוז תברים'!$L27=0,'ריכוז תברים'!$N27=0,'ריכוז תברים'!$T27=0)),$B$3,"")</f>
        <v>תקין</v>
      </c>
      <c r="K143" s="546"/>
      <c r="L143" s="340" t="str">
        <f>IF(OR('ריכוז תברים'!$D27&lt;&gt;0,AND('ריכוז תברים'!$F27=0,'ריכוז תברים'!$H27=0,'ריכוז תברים'!$J27=0,'ריכוז תברים'!$L27=0,'ריכוז תברים'!$N27=0,'ריכוז תברים'!$T27=0)),"",P143)</f>
        <v/>
      </c>
      <c r="M143" s="558"/>
      <c r="N143" s="282"/>
      <c r="P143" s="42" t="s">
        <v>88</v>
      </c>
    </row>
    <row r="144" spans="1:16" x14ac:dyDescent="0.2">
      <c r="A144" s="485">
        <v>107</v>
      </c>
      <c r="B144" s="366" t="s">
        <v>42</v>
      </c>
      <c r="C144" s="366" t="s">
        <v>107</v>
      </c>
      <c r="D144" s="316">
        <f t="shared" si="2"/>
        <v>2017</v>
      </c>
      <c r="E144" s="321">
        <f>'ריכוז תברים'!F27</f>
        <v>0</v>
      </c>
      <c r="F144" s="333"/>
      <c r="G144" s="334"/>
      <c r="H144" s="445"/>
      <c r="I144" s="321"/>
      <c r="J144" s="338" t="str">
        <f>IF(OR('ריכוז תברים'!$F28&lt;&gt;0,AND('ריכוז תברים'!$F28=0,'ריכוז תברים'!$H28=0,'ריכוז תברים'!$J28=0,'ריכוז תברים'!$L28=0,'ריכוז תברים'!$N28=0,'ריכוז תברים'!$T28=0)),$B$3,"")</f>
        <v>תקין</v>
      </c>
      <c r="K144" s="546"/>
      <c r="L144" s="340" t="str">
        <f>IF(OR('ריכוז תברים'!$D28&lt;&gt;0,AND('ריכוז תברים'!$F28=0,'ריכוז תברים'!$H28=0,'ריכוז תברים'!$J28=0,'ריכוז תברים'!$L28=0,'ריכוז תברים'!$N28=0,'ריכוז תברים'!$T28=0)),"",P144)</f>
        <v/>
      </c>
      <c r="M144" s="558"/>
      <c r="N144" s="282"/>
      <c r="P144" s="42" t="s">
        <v>88</v>
      </c>
    </row>
    <row r="145" spans="1:16" x14ac:dyDescent="0.2">
      <c r="A145" s="485">
        <v>108</v>
      </c>
      <c r="B145" s="366" t="s">
        <v>42</v>
      </c>
      <c r="C145" s="366" t="s">
        <v>108</v>
      </c>
      <c r="D145" s="316">
        <f t="shared" si="2"/>
        <v>2017</v>
      </c>
      <c r="E145" s="321">
        <f>'ריכוז תברים'!F28</f>
        <v>600</v>
      </c>
      <c r="F145" s="333"/>
      <c r="G145" s="334"/>
      <c r="H145" s="445"/>
      <c r="I145" s="321"/>
      <c r="J145" s="338" t="str">
        <f>IF(OR('ריכוז תברים'!$F29&lt;&gt;0,AND('ריכוז תברים'!$F29=0,'ריכוז תברים'!$H29=0,'ריכוז תברים'!$J29=0,'ריכוז תברים'!$L29=0,'ריכוז תברים'!$N29=0,'ריכוז תברים'!$T29=0)),$B$3,"")</f>
        <v>תקין</v>
      </c>
      <c r="K145" s="546"/>
      <c r="L145" s="340" t="str">
        <f>IF(OR('ריכוז תברים'!$D29&lt;&gt;0,AND('ריכוז תברים'!$F29=0,'ריכוז תברים'!$H29=0,'ריכוז תברים'!$J29=0,'ריכוז תברים'!$L29=0,'ריכוז תברים'!$N29=0,'ריכוז תברים'!$T29=0)),"",P145)</f>
        <v/>
      </c>
      <c r="M145" s="558"/>
      <c r="N145" s="282"/>
      <c r="P145" s="42" t="s">
        <v>88</v>
      </c>
    </row>
    <row r="146" spans="1:16" x14ac:dyDescent="0.2">
      <c r="A146" s="485">
        <v>109</v>
      </c>
      <c r="B146" s="366" t="s">
        <v>42</v>
      </c>
      <c r="C146" s="366" t="s">
        <v>109</v>
      </c>
      <c r="D146" s="316">
        <f t="shared" si="2"/>
        <v>2017</v>
      </c>
      <c r="E146" s="321">
        <f>'ריכוז תברים'!F29</f>
        <v>0</v>
      </c>
      <c r="F146" s="333"/>
      <c r="G146" s="334"/>
      <c r="H146" s="445"/>
      <c r="I146" s="321"/>
      <c r="J146" s="338" t="str">
        <f>IF(OR('ריכוז תברים'!$F30&lt;&gt;0,AND('ריכוז תברים'!$F30=0,'ריכוז תברים'!$H30=0,'ריכוז תברים'!$J30=0,'ריכוז תברים'!$L30=0,'ריכוז תברים'!$N30=0,'ריכוז תברים'!$T30=0)),$B$3,"")</f>
        <v>תקין</v>
      </c>
      <c r="K146" s="546"/>
      <c r="L146" s="340" t="str">
        <f>IF(OR('ריכוז תברים'!$D30&lt;&gt;0,AND('ריכוז תברים'!$F30=0,'ריכוז תברים'!$H30=0,'ריכוז תברים'!$J30=0,'ריכוז תברים'!$L30=0,'ריכוז תברים'!$N30=0,'ריכוז תברים'!$T30=0)),"",P146)</f>
        <v/>
      </c>
      <c r="M146" s="558"/>
      <c r="N146" s="282"/>
      <c r="P146" s="42" t="s">
        <v>88</v>
      </c>
    </row>
    <row r="147" spans="1:16" x14ac:dyDescent="0.2">
      <c r="A147" s="485">
        <v>110</v>
      </c>
      <c r="B147" s="366" t="s">
        <v>42</v>
      </c>
      <c r="C147" s="366" t="s">
        <v>110</v>
      </c>
      <c r="D147" s="316">
        <f t="shared" si="2"/>
        <v>2017</v>
      </c>
      <c r="E147" s="321">
        <f>'ריכוז תברים'!F30</f>
        <v>11526</v>
      </c>
      <c r="F147" s="333"/>
      <c r="G147" s="334"/>
      <c r="H147" s="445"/>
      <c r="I147" s="321"/>
      <c r="J147" s="338" t="str">
        <f>IF(OR('ריכוז תברים'!$F31&lt;&gt;0,AND('ריכוז תברים'!$F31=0,'ריכוז תברים'!$H31=0,'ריכוז תברים'!$J31=0,'ריכוז תברים'!$L31=0,'ריכוז תברים'!$N31=0,'ריכוז תברים'!$T31=0)),$B$3,"")</f>
        <v>תקין</v>
      </c>
      <c r="K147" s="546"/>
      <c r="L147" s="340" t="str">
        <f>IF(OR('ריכוז תברים'!$D31&lt;&gt;0,AND('ריכוז תברים'!$F31=0,'ריכוז תברים'!$H31=0,'ריכוז תברים'!$J31=0,'ריכוז תברים'!$L31=0,'ריכוז תברים'!$N31=0,'ריכוז תברים'!$T31=0)),"",P147)</f>
        <v/>
      </c>
      <c r="M147" s="558"/>
      <c r="N147" s="282"/>
      <c r="P147" s="42" t="s">
        <v>88</v>
      </c>
    </row>
    <row r="148" spans="1:16" x14ac:dyDescent="0.2">
      <c r="A148" s="485">
        <v>111</v>
      </c>
      <c r="B148" s="366" t="s">
        <v>42</v>
      </c>
      <c r="C148" s="366" t="s">
        <v>111</v>
      </c>
      <c r="D148" s="316">
        <f t="shared" si="2"/>
        <v>2017</v>
      </c>
      <c r="E148" s="321">
        <f>'ריכוז תברים'!F31</f>
        <v>0</v>
      </c>
      <c r="F148" s="333"/>
      <c r="G148" s="334"/>
      <c r="H148" s="445"/>
      <c r="I148" s="321"/>
      <c r="J148" s="338" t="str">
        <f>IF(OR('ריכוז תברים'!$F32&lt;&gt;0,AND('ריכוז תברים'!$F32=0,'ריכוז תברים'!$H32=0,'ריכוז תברים'!$J32=0,'ריכוז תברים'!$L32=0,'ריכוז תברים'!$N32=0,'ריכוז תברים'!$T32=0)),$B$3,"")</f>
        <v>תקין</v>
      </c>
      <c r="K148" s="546"/>
      <c r="L148" s="340" t="str">
        <f>IF(OR('ריכוז תברים'!$D32&lt;&gt;0,AND('ריכוז תברים'!$F32=0,'ריכוז תברים'!$H32=0,'ריכוז תברים'!$J32=0,'ריכוז תברים'!$L32=0,'ריכוז תברים'!$N32=0,'ריכוז תברים'!$T32=0)),"",P148)</f>
        <v/>
      </c>
      <c r="M148" s="558"/>
      <c r="N148" s="282"/>
      <c r="P148" s="42" t="s">
        <v>88</v>
      </c>
    </row>
    <row r="149" spans="1:16" x14ac:dyDescent="0.2">
      <c r="A149" s="485">
        <v>112</v>
      </c>
      <c r="B149" s="366" t="s">
        <v>42</v>
      </c>
      <c r="C149" s="366" t="s">
        <v>112</v>
      </c>
      <c r="D149" s="316">
        <f t="shared" si="2"/>
        <v>2017</v>
      </c>
      <c r="E149" s="321">
        <f>'ריכוז תברים'!F32</f>
        <v>0</v>
      </c>
      <c r="F149" s="333"/>
      <c r="G149" s="334"/>
      <c r="H149" s="445"/>
      <c r="I149" s="321"/>
      <c r="J149" s="338" t="str">
        <f>IF(OR('ריכוז תברים'!$F33&lt;&gt;0,AND('ריכוז תברים'!$F33=0,'ריכוז תברים'!$H33=0,'ריכוז תברים'!$J33=0,'ריכוז תברים'!$L33=0,'ריכוז תברים'!$N33=0,'ריכוז תברים'!$T33=0)),$B$3,"")</f>
        <v>תקין</v>
      </c>
      <c r="K149" s="546"/>
      <c r="L149" s="340" t="str">
        <f>IF(OR('ריכוז תברים'!$D33&lt;&gt;0,AND('ריכוז תברים'!$F33=0,'ריכוז תברים'!$H33=0,'ריכוז תברים'!$J33=0,'ריכוז תברים'!$L33=0,'ריכוז תברים'!$N33=0,'ריכוז תברים'!$T33=0)),"",P149)</f>
        <v/>
      </c>
      <c r="M149" s="558"/>
      <c r="N149" s="282"/>
      <c r="P149" s="42" t="s">
        <v>88</v>
      </c>
    </row>
    <row r="150" spans="1:16" x14ac:dyDescent="0.2">
      <c r="A150" s="485">
        <v>113</v>
      </c>
      <c r="B150" s="366" t="s">
        <v>42</v>
      </c>
      <c r="C150" s="366" t="s">
        <v>113</v>
      </c>
      <c r="D150" s="316">
        <f t="shared" si="2"/>
        <v>2017</v>
      </c>
      <c r="E150" s="321">
        <f>'ריכוז תברים'!F33</f>
        <v>0</v>
      </c>
      <c r="F150" s="333"/>
      <c r="G150" s="334"/>
      <c r="H150" s="445"/>
      <c r="I150" s="321"/>
      <c r="J150" s="338" t="str">
        <f>IF(OR('ריכוז תברים'!$F34&lt;&gt;0,AND('ריכוז תברים'!$F34=0,'ריכוז תברים'!$H34=0,'ריכוז תברים'!$J34=0,'ריכוז תברים'!$L34=0,'ריכוז תברים'!$N34=0,'ריכוז תברים'!$T34=0)),$B$3,"")</f>
        <v>תקין</v>
      </c>
      <c r="K150" s="546"/>
      <c r="L150" s="340" t="str">
        <f>IF(OR('ריכוז תברים'!$D34&lt;&gt;0,AND('ריכוז תברים'!$F34=0,'ריכוז תברים'!$H34=0,'ריכוז תברים'!$J34=0,'ריכוז תברים'!$L34=0,'ריכוז תברים'!$N34=0,'ריכוז תברים'!$T34=0)),"",P150)</f>
        <v/>
      </c>
      <c r="M150" s="558"/>
      <c r="N150" s="282"/>
      <c r="P150" s="42" t="s">
        <v>88</v>
      </c>
    </row>
    <row r="151" spans="1:16" x14ac:dyDescent="0.2">
      <c r="A151" s="485">
        <v>114</v>
      </c>
      <c r="B151" s="366" t="s">
        <v>42</v>
      </c>
      <c r="C151" s="366" t="s">
        <v>114</v>
      </c>
      <c r="D151" s="316">
        <f t="shared" si="2"/>
        <v>2017</v>
      </c>
      <c r="E151" s="321">
        <f>'ריכוז תברים'!F34</f>
        <v>34000</v>
      </c>
      <c r="F151" s="333"/>
      <c r="G151" s="334"/>
      <c r="H151" s="445"/>
      <c r="I151" s="321"/>
      <c r="J151" s="338" t="str">
        <f>IF(OR('ריכוז תברים'!$F35&lt;&gt;0,AND('ריכוז תברים'!$F35=0,'ריכוז תברים'!$H35=0,'ריכוז תברים'!$J35=0,'ריכוז תברים'!$L35=0,'ריכוז תברים'!$N35=0,'ריכוז תברים'!$T35=0)),$B$3,"")</f>
        <v>תקין</v>
      </c>
      <c r="K151" s="546"/>
      <c r="L151" s="340" t="str">
        <f>IF(OR('ריכוז תברים'!$D35&lt;&gt;0,AND('ריכוז תברים'!$F35=0,'ריכוז תברים'!$H35=0,'ריכוז תברים'!$J35=0,'ריכוז תברים'!$L35=0,'ריכוז תברים'!$N35=0,'ריכוז תברים'!$T35=0)),"",P151)</f>
        <v/>
      </c>
      <c r="M151" s="558"/>
      <c r="N151" s="282"/>
      <c r="P151" s="42" t="s">
        <v>88</v>
      </c>
    </row>
    <row r="152" spans="1:16" x14ac:dyDescent="0.2">
      <c r="A152" s="485">
        <v>115</v>
      </c>
      <c r="B152" s="366" t="s">
        <v>42</v>
      </c>
      <c r="C152" s="366" t="s">
        <v>115</v>
      </c>
      <c r="D152" s="316">
        <f t="shared" si="2"/>
        <v>2017</v>
      </c>
      <c r="E152" s="321">
        <f>'ריכוז תברים'!F35</f>
        <v>0</v>
      </c>
      <c r="F152" s="333"/>
      <c r="G152" s="334"/>
      <c r="H152" s="445"/>
      <c r="I152" s="321"/>
      <c r="J152" s="338" t="str">
        <f>IF(OR('ריכוז תברים'!$F36&lt;&gt;0,AND('ריכוז תברים'!$F36=0,'ריכוז תברים'!$H36=0,'ריכוז תברים'!$J36=0,'ריכוז תברים'!$L36=0,'ריכוז תברים'!$N36=0,'ריכוז תברים'!$T36=0)),$B$3,"")</f>
        <v>תקין</v>
      </c>
      <c r="K152" s="546"/>
      <c r="L152" s="340" t="str">
        <f>IF(OR('ריכוז תברים'!$D36&lt;&gt;0,AND('ריכוז תברים'!$F36=0,'ריכוז תברים'!$H36=0,'ריכוז תברים'!$J36=0,'ריכוז תברים'!$L36=0,'ריכוז תברים'!$N36=0,'ריכוז תברים'!$T36=0)),"",P152)</f>
        <v/>
      </c>
      <c r="M152" s="558"/>
      <c r="N152" s="282"/>
      <c r="P152" s="42" t="s">
        <v>88</v>
      </c>
    </row>
    <row r="153" spans="1:16" x14ac:dyDescent="0.2">
      <c r="A153" s="485">
        <v>116</v>
      </c>
      <c r="B153" s="366" t="s">
        <v>42</v>
      </c>
      <c r="C153" s="366" t="s">
        <v>116</v>
      </c>
      <c r="D153" s="316">
        <f t="shared" si="2"/>
        <v>2017</v>
      </c>
      <c r="E153" s="321">
        <f>'ריכוז תברים'!F36</f>
        <v>0</v>
      </c>
      <c r="F153" s="333"/>
      <c r="G153" s="334"/>
      <c r="H153" s="445"/>
      <c r="I153" s="321"/>
      <c r="J153" s="338" t="str">
        <f>IF(OR('ריכוז תברים'!$F37&lt;&gt;0,AND('ריכוז תברים'!$F37=0,'ריכוז תברים'!$H37=0,'ריכוז תברים'!$J37=0,'ריכוז תברים'!$L37=0,'ריכוז תברים'!$N37=0,'ריכוז תברים'!$T37=0)),$B$3,"")</f>
        <v>תקין</v>
      </c>
      <c r="K153" s="546"/>
      <c r="L153" s="340" t="str">
        <f>IF(OR('ריכוז תברים'!$D37&lt;&gt;0,AND('ריכוז תברים'!$F37=0,'ריכוז תברים'!$H37=0,'ריכוז תברים'!$J37=0,'ריכוז תברים'!$L37=0,'ריכוז תברים'!$N37=0,'ריכוז תברים'!$T37=0)),"",P153)</f>
        <v/>
      </c>
      <c r="M153" s="558"/>
      <c r="N153" s="282"/>
      <c r="P153" s="42" t="s">
        <v>88</v>
      </c>
    </row>
    <row r="154" spans="1:16" ht="15.75" x14ac:dyDescent="0.2">
      <c r="A154" s="288"/>
      <c r="B154" s="619" t="s">
        <v>117</v>
      </c>
      <c r="C154" s="619"/>
      <c r="D154" s="619"/>
      <c r="E154" s="619"/>
      <c r="F154" s="619"/>
      <c r="G154" s="619"/>
      <c r="H154" s="619"/>
      <c r="I154" s="619"/>
      <c r="J154" s="368"/>
      <c r="K154" s="552"/>
      <c r="L154" s="362"/>
      <c r="M154" s="362"/>
      <c r="N154" s="282"/>
    </row>
    <row r="155" spans="1:16" ht="25.5" customHeight="1" x14ac:dyDescent="0.2">
      <c r="A155" s="487">
        <v>117</v>
      </c>
      <c r="B155" s="369" t="s">
        <v>118</v>
      </c>
      <c r="C155" s="369" t="s">
        <v>119</v>
      </c>
      <c r="D155" s="316">
        <f>$G$3</f>
        <v>2016</v>
      </c>
      <c r="E155" s="347">
        <f>'גבייה וחייבים'!G30</f>
        <v>5495</v>
      </c>
      <c r="F155" s="300" t="s">
        <v>118</v>
      </c>
      <c r="G155" s="348" t="s">
        <v>120</v>
      </c>
      <c r="H155" s="451">
        <f>$F$3</f>
        <v>2017</v>
      </c>
      <c r="I155" s="347">
        <f>'גבייה וחייבים'!C9</f>
        <v>5495</v>
      </c>
      <c r="J155" s="364" t="str">
        <f>IF($E155=$I155,$B$3,"")</f>
        <v>תקין</v>
      </c>
      <c r="K155" s="537" t="str">
        <f>IF($E155=$I155,"",E155-I155)</f>
        <v/>
      </c>
      <c r="L155" s="365" t="str">
        <f>IF($E155=$I155,"",P155)</f>
        <v/>
      </c>
      <c r="M155" s="556"/>
      <c r="N155" s="282"/>
      <c r="P155" s="42" t="s">
        <v>121</v>
      </c>
    </row>
    <row r="156" spans="1:16" ht="38.25" customHeight="1" x14ac:dyDescent="0.2">
      <c r="A156" s="488">
        <v>118</v>
      </c>
      <c r="B156" s="370" t="s">
        <v>118</v>
      </c>
      <c r="C156" s="370" t="s">
        <v>122</v>
      </c>
      <c r="D156" s="316">
        <f>$F$3</f>
        <v>2017</v>
      </c>
      <c r="E156" s="317">
        <f>'גבייה וחייבים'!C19</f>
        <v>13479.25</v>
      </c>
      <c r="F156" s="303" t="s">
        <v>123</v>
      </c>
      <c r="G156" s="315" t="s">
        <v>124</v>
      </c>
      <c r="H156" s="451">
        <f>$F$3</f>
        <v>2017</v>
      </c>
      <c r="I156" s="317">
        <f>(((ארנונה!O19+ארנונה!O22)/4)*'הגדרות כלליות'!D17)</f>
        <v>13614.0425</v>
      </c>
      <c r="J156" s="307" t="str">
        <f>IF($E156&gt;=$I156,$B$3,"")</f>
        <v/>
      </c>
      <c r="K156" s="537">
        <f>IF($E156&gt;=$I156,"",E156-I156)</f>
        <v>-134.79249999999956</v>
      </c>
      <c r="L156" s="314" t="str">
        <f>IF($E156&gt;=$I156,"",P156)</f>
        <v>חיוב תקופתי שוטף ריאלי מצטבר קטן מסה"כ חיוב ארנונה ראשוני עד רבעון זה</v>
      </c>
      <c r="M156" s="557"/>
      <c r="N156" s="306"/>
      <c r="P156" s="42" t="s">
        <v>125</v>
      </c>
    </row>
    <row r="157" spans="1:16" ht="25.5" x14ac:dyDescent="0.2">
      <c r="A157" s="488">
        <v>119</v>
      </c>
      <c r="B157" s="370" t="s">
        <v>118</v>
      </c>
      <c r="C157" s="370" t="s">
        <v>126</v>
      </c>
      <c r="D157" s="316">
        <f t="shared" ref="D157:D181" si="3">$G$3</f>
        <v>2016</v>
      </c>
      <c r="E157" s="317">
        <f>'גבייה וחייבים'!$C$9</f>
        <v>5495</v>
      </c>
      <c r="F157" s="303"/>
      <c r="G157" s="315"/>
      <c r="H157" s="451"/>
      <c r="I157" s="317"/>
      <c r="J157" s="307" t="str">
        <f t="shared" ref="J157:J180" si="4">IF(E157&lt;&gt;0,$B$3,"")</f>
        <v>תקין</v>
      </c>
      <c r="K157" s="537"/>
      <c r="L157" s="314" t="str">
        <f t="shared" ref="L157:L180" si="5">IF(E157&lt;&gt;0,"",P157)</f>
        <v/>
      </c>
      <c r="M157" s="557"/>
      <c r="N157" s="306"/>
      <c r="P157" s="42" t="s">
        <v>127</v>
      </c>
    </row>
    <row r="158" spans="1:16" ht="28.5" customHeight="1" x14ac:dyDescent="0.2">
      <c r="A158" s="488">
        <v>120</v>
      </c>
      <c r="B158" s="370" t="s">
        <v>118</v>
      </c>
      <c r="C158" s="370" t="s">
        <v>128</v>
      </c>
      <c r="D158" s="316">
        <f t="shared" si="3"/>
        <v>2016</v>
      </c>
      <c r="E158" s="317">
        <f>'גבייה וחייבים'!$C$19</f>
        <v>13479.25</v>
      </c>
      <c r="F158" s="303"/>
      <c r="G158" s="315"/>
      <c r="H158" s="451"/>
      <c r="I158" s="317"/>
      <c r="J158" s="307" t="str">
        <f t="shared" si="4"/>
        <v>תקין</v>
      </c>
      <c r="K158" s="537"/>
      <c r="L158" s="314" t="str">
        <f t="shared" si="5"/>
        <v/>
      </c>
      <c r="M158" s="557"/>
      <c r="N158" s="282"/>
      <c r="P158" s="42" t="s">
        <v>129</v>
      </c>
    </row>
    <row r="159" spans="1:16" ht="39" customHeight="1" x14ac:dyDescent="0.2">
      <c r="A159" s="488">
        <v>121</v>
      </c>
      <c r="B159" s="370" t="s">
        <v>118</v>
      </c>
      <c r="C159" s="370" t="s">
        <v>130</v>
      </c>
      <c r="D159" s="316">
        <f t="shared" si="3"/>
        <v>2016</v>
      </c>
      <c r="E159" s="317">
        <f>'גבייה וחייבים'!$C$25</f>
        <v>12220</v>
      </c>
      <c r="F159" s="303"/>
      <c r="G159" s="315"/>
      <c r="H159" s="451"/>
      <c r="I159" s="317"/>
      <c r="J159" s="307" t="str">
        <f t="shared" si="4"/>
        <v>תקין</v>
      </c>
      <c r="K159" s="537"/>
      <c r="L159" s="314" t="str">
        <f t="shared" si="5"/>
        <v/>
      </c>
      <c r="M159" s="557"/>
      <c r="N159" s="282"/>
      <c r="P159" s="42" t="s">
        <v>131</v>
      </c>
    </row>
    <row r="160" spans="1:16" ht="39" customHeight="1" x14ac:dyDescent="0.2">
      <c r="A160" s="488">
        <v>122</v>
      </c>
      <c r="B160" s="370" t="s">
        <v>118</v>
      </c>
      <c r="C160" s="370" t="s">
        <v>784</v>
      </c>
      <c r="D160" s="316">
        <f t="shared" si="3"/>
        <v>2016</v>
      </c>
      <c r="E160" s="317">
        <f>'גבייה וחייבים'!$C$16</f>
        <v>410</v>
      </c>
      <c r="F160" s="303"/>
      <c r="G160" s="315"/>
      <c r="H160" s="451"/>
      <c r="I160" s="317"/>
      <c r="J160" s="307" t="str">
        <f t="shared" si="4"/>
        <v>תקין</v>
      </c>
      <c r="K160" s="537"/>
      <c r="L160" s="314" t="str">
        <f t="shared" si="5"/>
        <v/>
      </c>
      <c r="M160" s="557"/>
      <c r="N160" s="282"/>
      <c r="P160" s="42" t="s">
        <v>132</v>
      </c>
    </row>
    <row r="161" spans="1:16" ht="39" customHeight="1" x14ac:dyDescent="0.2">
      <c r="A161" s="488">
        <v>123</v>
      </c>
      <c r="B161" s="370" t="s">
        <v>118</v>
      </c>
      <c r="C161" s="370" t="s">
        <v>133</v>
      </c>
      <c r="D161" s="316">
        <f t="shared" si="3"/>
        <v>2016</v>
      </c>
      <c r="E161" s="317">
        <f>'גבייה וחייבים'!$C$10</f>
        <v>-0.81999999999999984</v>
      </c>
      <c r="F161" s="303"/>
      <c r="G161" s="315"/>
      <c r="H161" s="451"/>
      <c r="I161" s="317"/>
      <c r="J161" s="307" t="str">
        <f t="shared" si="4"/>
        <v>תקין</v>
      </c>
      <c r="K161" s="537"/>
      <c r="L161" s="314" t="str">
        <f t="shared" si="5"/>
        <v/>
      </c>
      <c r="M161" s="557"/>
      <c r="N161" s="282"/>
      <c r="P161" s="42" t="s">
        <v>134</v>
      </c>
    </row>
    <row r="162" spans="1:16" ht="39" customHeight="1" x14ac:dyDescent="0.2">
      <c r="A162" s="488">
        <v>124</v>
      </c>
      <c r="B162" s="370" t="s">
        <v>118</v>
      </c>
      <c r="C162" s="370" t="s">
        <v>135</v>
      </c>
      <c r="D162" s="316">
        <f t="shared" si="3"/>
        <v>2016</v>
      </c>
      <c r="E162" s="317">
        <f>'גבייה וחייבים'!$C$12</f>
        <v>63.870000000000005</v>
      </c>
      <c r="F162" s="303"/>
      <c r="G162" s="315"/>
      <c r="H162" s="451"/>
      <c r="I162" s="317"/>
      <c r="J162" s="307" t="str">
        <f t="shared" si="4"/>
        <v>תקין</v>
      </c>
      <c r="K162" s="537"/>
      <c r="L162" s="314" t="str">
        <f t="shared" si="5"/>
        <v/>
      </c>
      <c r="M162" s="557"/>
      <c r="N162" s="282"/>
      <c r="P162" s="42" t="s">
        <v>136</v>
      </c>
    </row>
    <row r="163" spans="1:16" ht="39" customHeight="1" x14ac:dyDescent="0.2">
      <c r="A163" s="488">
        <v>125</v>
      </c>
      <c r="B163" s="370" t="s">
        <v>118</v>
      </c>
      <c r="C163" s="370" t="s">
        <v>137</v>
      </c>
      <c r="D163" s="316">
        <f t="shared" si="3"/>
        <v>2016</v>
      </c>
      <c r="E163" s="317">
        <f>'גבייה וחייבים'!$C$20</f>
        <v>7598.45</v>
      </c>
      <c r="F163" s="303"/>
      <c r="G163" s="315"/>
      <c r="H163" s="451"/>
      <c r="I163" s="317"/>
      <c r="J163" s="307" t="str">
        <f t="shared" si="4"/>
        <v>תקין</v>
      </c>
      <c r="K163" s="537"/>
      <c r="L163" s="314" t="str">
        <f t="shared" si="5"/>
        <v/>
      </c>
      <c r="M163" s="557"/>
      <c r="N163" s="282"/>
      <c r="P163" s="42" t="s">
        <v>138</v>
      </c>
    </row>
    <row r="164" spans="1:16" ht="39" customHeight="1" x14ac:dyDescent="0.2">
      <c r="A164" s="488">
        <v>126</v>
      </c>
      <c r="B164" s="370" t="s">
        <v>118</v>
      </c>
      <c r="C164" s="370" t="s">
        <v>139</v>
      </c>
      <c r="D164" s="316">
        <f t="shared" si="3"/>
        <v>2016</v>
      </c>
      <c r="E164" s="317">
        <f>'גבייה וחייבים'!$C$21</f>
        <v>-1192</v>
      </c>
      <c r="F164" s="303"/>
      <c r="G164" s="315"/>
      <c r="H164" s="451"/>
      <c r="I164" s="317"/>
      <c r="J164" s="307" t="str">
        <f t="shared" si="4"/>
        <v>תקין</v>
      </c>
      <c r="K164" s="537"/>
      <c r="L164" s="314" t="str">
        <f t="shared" si="5"/>
        <v/>
      </c>
      <c r="M164" s="557"/>
      <c r="N164" s="282"/>
      <c r="P164" s="42" t="s">
        <v>140</v>
      </c>
    </row>
    <row r="165" spans="1:16" x14ac:dyDescent="0.2">
      <c r="A165" s="488">
        <v>127</v>
      </c>
      <c r="B165" s="370" t="s">
        <v>118</v>
      </c>
      <c r="C165" s="370" t="s">
        <v>141</v>
      </c>
      <c r="D165" s="316">
        <f t="shared" si="3"/>
        <v>2016</v>
      </c>
      <c r="E165" s="317">
        <f>'גבייה וחייבים'!$E$9</f>
        <v>4930</v>
      </c>
      <c r="F165" s="303"/>
      <c r="G165" s="315"/>
      <c r="H165" s="451"/>
      <c r="I165" s="317"/>
      <c r="J165" s="307" t="str">
        <f t="shared" si="4"/>
        <v>תקין</v>
      </c>
      <c r="K165" s="537"/>
      <c r="L165" s="314" t="str">
        <f t="shared" si="5"/>
        <v/>
      </c>
      <c r="M165" s="557"/>
      <c r="N165" s="306"/>
      <c r="P165" s="42" t="s">
        <v>142</v>
      </c>
    </row>
    <row r="166" spans="1:16" ht="28.5" customHeight="1" x14ac:dyDescent="0.2">
      <c r="A166" s="488">
        <v>128</v>
      </c>
      <c r="B166" s="370" t="s">
        <v>118</v>
      </c>
      <c r="C166" s="370" t="s">
        <v>128</v>
      </c>
      <c r="D166" s="316">
        <f t="shared" si="3"/>
        <v>2016</v>
      </c>
      <c r="E166" s="317">
        <f>'גבייה וחייבים'!$E$19</f>
        <v>21003</v>
      </c>
      <c r="F166" s="303"/>
      <c r="G166" s="315"/>
      <c r="H166" s="451"/>
      <c r="I166" s="317"/>
      <c r="J166" s="307" t="str">
        <f t="shared" si="4"/>
        <v>תקין</v>
      </c>
      <c r="K166" s="537"/>
      <c r="L166" s="314" t="str">
        <f t="shared" si="5"/>
        <v/>
      </c>
      <c r="M166" s="557"/>
      <c r="N166" s="282"/>
      <c r="P166" s="42" t="s">
        <v>143</v>
      </c>
    </row>
    <row r="167" spans="1:16" ht="39" customHeight="1" x14ac:dyDescent="0.2">
      <c r="A167" s="488">
        <v>129</v>
      </c>
      <c r="B167" s="370" t="s">
        <v>118</v>
      </c>
      <c r="C167" s="370" t="s">
        <v>130</v>
      </c>
      <c r="D167" s="316">
        <f t="shared" si="3"/>
        <v>2016</v>
      </c>
      <c r="E167" s="317">
        <f>'גבייה וחייבים'!$E$25</f>
        <v>11997</v>
      </c>
      <c r="F167" s="303"/>
      <c r="G167" s="315"/>
      <c r="H167" s="451"/>
      <c r="I167" s="317"/>
      <c r="J167" s="307" t="str">
        <f t="shared" si="4"/>
        <v>תקין</v>
      </c>
      <c r="K167" s="537"/>
      <c r="L167" s="314" t="str">
        <f t="shared" si="5"/>
        <v/>
      </c>
      <c r="M167" s="557"/>
      <c r="N167" s="282"/>
      <c r="P167" s="42" t="s">
        <v>144</v>
      </c>
    </row>
    <row r="168" spans="1:16" ht="39" customHeight="1" x14ac:dyDescent="0.2">
      <c r="A168" s="488">
        <v>130</v>
      </c>
      <c r="B168" s="370" t="s">
        <v>118</v>
      </c>
      <c r="C168" s="370" t="s">
        <v>784</v>
      </c>
      <c r="D168" s="316">
        <f t="shared" si="3"/>
        <v>2016</v>
      </c>
      <c r="E168" s="317">
        <f>'גבייה וחייבים'!$E$16</f>
        <v>267</v>
      </c>
      <c r="F168" s="303"/>
      <c r="G168" s="315"/>
      <c r="H168" s="451"/>
      <c r="I168" s="317"/>
      <c r="J168" s="307" t="str">
        <f t="shared" si="4"/>
        <v>תקין</v>
      </c>
      <c r="K168" s="537"/>
      <c r="L168" s="314" t="str">
        <f t="shared" si="5"/>
        <v/>
      </c>
      <c r="M168" s="557"/>
      <c r="N168" s="282"/>
      <c r="P168" s="42" t="s">
        <v>145</v>
      </c>
    </row>
    <row r="169" spans="1:16" ht="39" customHeight="1" x14ac:dyDescent="0.2">
      <c r="A169" s="488">
        <v>131</v>
      </c>
      <c r="B169" s="370" t="s">
        <v>118</v>
      </c>
      <c r="C169" s="370" t="s">
        <v>133</v>
      </c>
      <c r="D169" s="316">
        <f t="shared" si="3"/>
        <v>2016</v>
      </c>
      <c r="E169" s="317">
        <f>'גבייה וחייבים'!$E$10</f>
        <v>-56</v>
      </c>
      <c r="F169" s="303"/>
      <c r="G169" s="315"/>
      <c r="H169" s="451"/>
      <c r="I169" s="317"/>
      <c r="J169" s="307" t="str">
        <f t="shared" si="4"/>
        <v>תקין</v>
      </c>
      <c r="K169" s="537"/>
      <c r="L169" s="314" t="str">
        <f t="shared" si="5"/>
        <v/>
      </c>
      <c r="M169" s="557"/>
      <c r="N169" s="282"/>
      <c r="P169" s="42" t="s">
        <v>146</v>
      </c>
    </row>
    <row r="170" spans="1:16" ht="39" customHeight="1" x14ac:dyDescent="0.2">
      <c r="A170" s="488">
        <v>132</v>
      </c>
      <c r="B170" s="370" t="s">
        <v>118</v>
      </c>
      <c r="C170" s="370" t="s">
        <v>135</v>
      </c>
      <c r="D170" s="316">
        <f t="shared" si="3"/>
        <v>2016</v>
      </c>
      <c r="E170" s="317">
        <f>'גבייה וחייבים'!$E$12</f>
        <v>32</v>
      </c>
      <c r="F170" s="303"/>
      <c r="G170" s="315"/>
      <c r="H170" s="451"/>
      <c r="I170" s="317"/>
      <c r="J170" s="307" t="str">
        <f t="shared" si="4"/>
        <v>תקין</v>
      </c>
      <c r="K170" s="537"/>
      <c r="L170" s="314" t="str">
        <f t="shared" si="5"/>
        <v/>
      </c>
      <c r="M170" s="557"/>
      <c r="N170" s="282"/>
      <c r="P170" s="42" t="s">
        <v>147</v>
      </c>
    </row>
    <row r="171" spans="1:16" ht="39" customHeight="1" x14ac:dyDescent="0.2">
      <c r="A171" s="488">
        <v>133</v>
      </c>
      <c r="B171" s="370" t="s">
        <v>118</v>
      </c>
      <c r="C171" s="370" t="s">
        <v>137</v>
      </c>
      <c r="D171" s="316">
        <f t="shared" si="3"/>
        <v>2016</v>
      </c>
      <c r="E171" s="317">
        <f>'גבייה וחייבים'!$E$20</f>
        <v>-33</v>
      </c>
      <c r="F171" s="303"/>
      <c r="G171" s="315"/>
      <c r="H171" s="451"/>
      <c r="I171" s="317"/>
      <c r="J171" s="307" t="str">
        <f t="shared" si="4"/>
        <v>תקין</v>
      </c>
      <c r="K171" s="537"/>
      <c r="L171" s="314" t="str">
        <f t="shared" si="5"/>
        <v/>
      </c>
      <c r="M171" s="557"/>
      <c r="N171" s="282"/>
      <c r="P171" s="42" t="s">
        <v>148</v>
      </c>
    </row>
    <row r="172" spans="1:16" ht="39" customHeight="1" x14ac:dyDescent="0.2">
      <c r="A172" s="488">
        <v>134</v>
      </c>
      <c r="B172" s="370" t="s">
        <v>118</v>
      </c>
      <c r="C172" s="370" t="s">
        <v>139</v>
      </c>
      <c r="D172" s="316">
        <f t="shared" si="3"/>
        <v>2016</v>
      </c>
      <c r="E172" s="317">
        <f>'גבייה וחייבים'!$E$21</f>
        <v>-982</v>
      </c>
      <c r="F172" s="303"/>
      <c r="G172" s="315"/>
      <c r="H172" s="451"/>
      <c r="I172" s="317"/>
      <c r="J172" s="307" t="str">
        <f t="shared" si="4"/>
        <v>תקין</v>
      </c>
      <c r="K172" s="537"/>
      <c r="L172" s="314" t="str">
        <f t="shared" si="5"/>
        <v/>
      </c>
      <c r="M172" s="557"/>
      <c r="N172" s="282"/>
      <c r="P172" s="42" t="s">
        <v>149</v>
      </c>
    </row>
    <row r="173" spans="1:16" ht="39" customHeight="1" x14ac:dyDescent="0.2">
      <c r="A173" s="488">
        <v>135</v>
      </c>
      <c r="B173" s="370" t="s">
        <v>118</v>
      </c>
      <c r="C173" s="370" t="s">
        <v>141</v>
      </c>
      <c r="D173" s="316">
        <f t="shared" si="3"/>
        <v>2016</v>
      </c>
      <c r="E173" s="317">
        <f>'גבייה וחייבים'!G9</f>
        <v>4930</v>
      </c>
      <c r="F173" s="303"/>
      <c r="G173" s="315"/>
      <c r="H173" s="451"/>
      <c r="I173" s="317"/>
      <c r="J173" s="307" t="str">
        <f t="shared" si="4"/>
        <v>תקין</v>
      </c>
      <c r="K173" s="537"/>
      <c r="L173" s="314" t="str">
        <f t="shared" si="5"/>
        <v/>
      </c>
      <c r="M173" s="557"/>
      <c r="N173" s="282"/>
      <c r="P173" s="42" t="s">
        <v>150</v>
      </c>
    </row>
    <row r="174" spans="1:16" ht="39" customHeight="1" x14ac:dyDescent="0.2">
      <c r="A174" s="488">
        <v>136</v>
      </c>
      <c r="B174" s="370" t="s">
        <v>118</v>
      </c>
      <c r="C174" s="370" t="s">
        <v>122</v>
      </c>
      <c r="D174" s="316">
        <f t="shared" si="3"/>
        <v>2016</v>
      </c>
      <c r="E174" s="317">
        <f>'גבייה וחייבים'!G19</f>
        <v>53133</v>
      </c>
      <c r="F174" s="303"/>
      <c r="G174" s="315"/>
      <c r="H174" s="451"/>
      <c r="I174" s="317"/>
      <c r="J174" s="307" t="str">
        <f t="shared" si="4"/>
        <v>תקין</v>
      </c>
      <c r="K174" s="537"/>
      <c r="L174" s="314" t="str">
        <f t="shared" si="5"/>
        <v/>
      </c>
      <c r="M174" s="557"/>
      <c r="N174" s="282"/>
      <c r="P174" s="42" t="s">
        <v>151</v>
      </c>
    </row>
    <row r="175" spans="1:16" ht="39" customHeight="1" x14ac:dyDescent="0.2">
      <c r="A175" s="488">
        <v>137</v>
      </c>
      <c r="B175" s="370" t="s">
        <v>118</v>
      </c>
      <c r="C175" s="370" t="s">
        <v>152</v>
      </c>
      <c r="D175" s="316">
        <f t="shared" si="3"/>
        <v>2016</v>
      </c>
      <c r="E175" s="317">
        <f>'גבייה וחייבים'!G25</f>
        <v>47084</v>
      </c>
      <c r="F175" s="303"/>
      <c r="G175" s="315"/>
      <c r="H175" s="451"/>
      <c r="I175" s="317"/>
      <c r="J175" s="307" t="str">
        <f t="shared" si="4"/>
        <v>תקין</v>
      </c>
      <c r="K175" s="537"/>
      <c r="L175" s="314" t="str">
        <f t="shared" si="5"/>
        <v/>
      </c>
      <c r="M175" s="557"/>
      <c r="N175" s="282"/>
      <c r="P175" s="42" t="s">
        <v>153</v>
      </c>
    </row>
    <row r="176" spans="1:16" ht="39" customHeight="1" x14ac:dyDescent="0.2">
      <c r="A176" s="488">
        <v>138</v>
      </c>
      <c r="B176" s="370" t="s">
        <v>118</v>
      </c>
      <c r="C176" s="370" t="s">
        <v>154</v>
      </c>
      <c r="D176" s="316">
        <f t="shared" si="3"/>
        <v>2016</v>
      </c>
      <c r="E176" s="317">
        <f>'גבייה וחייבים'!G16</f>
        <v>608</v>
      </c>
      <c r="F176" s="303"/>
      <c r="G176" s="315"/>
      <c r="H176" s="451"/>
      <c r="I176" s="317"/>
      <c r="J176" s="307" t="str">
        <f t="shared" si="4"/>
        <v>תקין</v>
      </c>
      <c r="K176" s="537"/>
      <c r="L176" s="314" t="str">
        <f t="shared" si="5"/>
        <v/>
      </c>
      <c r="M176" s="557"/>
      <c r="N176" s="282"/>
      <c r="P176" s="42" t="s">
        <v>155</v>
      </c>
    </row>
    <row r="177" spans="1:16" ht="39" customHeight="1" x14ac:dyDescent="0.2">
      <c r="A177" s="488">
        <v>139</v>
      </c>
      <c r="B177" s="370" t="s">
        <v>118</v>
      </c>
      <c r="C177" s="370" t="s">
        <v>133</v>
      </c>
      <c r="D177" s="316">
        <f t="shared" si="3"/>
        <v>2016</v>
      </c>
      <c r="E177" s="317">
        <f>'גבייה וחייבים'!$G$10</f>
        <v>-297</v>
      </c>
      <c r="F177" s="303"/>
      <c r="G177" s="315"/>
      <c r="H177" s="451"/>
      <c r="I177" s="317"/>
      <c r="J177" s="307" t="str">
        <f t="shared" si="4"/>
        <v>תקין</v>
      </c>
      <c r="K177" s="537"/>
      <c r="L177" s="314" t="str">
        <f t="shared" si="5"/>
        <v/>
      </c>
      <c r="M177" s="557"/>
      <c r="N177" s="282"/>
      <c r="P177" s="42" t="s">
        <v>156</v>
      </c>
    </row>
    <row r="178" spans="1:16" ht="39" customHeight="1" x14ac:dyDescent="0.2">
      <c r="A178" s="488">
        <v>140</v>
      </c>
      <c r="B178" s="370" t="s">
        <v>118</v>
      </c>
      <c r="C178" s="370" t="s">
        <v>135</v>
      </c>
      <c r="D178" s="316">
        <f t="shared" si="3"/>
        <v>2016</v>
      </c>
      <c r="E178" s="317">
        <f>'גבייה וחייבים'!$G$12</f>
        <v>236</v>
      </c>
      <c r="F178" s="303"/>
      <c r="G178" s="315"/>
      <c r="H178" s="451"/>
      <c r="I178" s="317"/>
      <c r="J178" s="307" t="str">
        <f t="shared" si="4"/>
        <v>תקין</v>
      </c>
      <c r="K178" s="537"/>
      <c r="L178" s="314" t="str">
        <f t="shared" si="5"/>
        <v/>
      </c>
      <c r="M178" s="557"/>
      <c r="N178" s="282"/>
      <c r="P178" s="42" t="s">
        <v>157</v>
      </c>
    </row>
    <row r="179" spans="1:16" ht="39" customHeight="1" x14ac:dyDescent="0.2">
      <c r="A179" s="488">
        <v>141</v>
      </c>
      <c r="B179" s="370" t="s">
        <v>118</v>
      </c>
      <c r="C179" s="370" t="s">
        <v>137</v>
      </c>
      <c r="D179" s="316">
        <f t="shared" si="3"/>
        <v>2016</v>
      </c>
      <c r="E179" s="317">
        <f>'גבייה וחייבים'!$G$20</f>
        <v>-35</v>
      </c>
      <c r="F179" s="303"/>
      <c r="G179" s="315"/>
      <c r="H179" s="451"/>
      <c r="I179" s="317"/>
      <c r="J179" s="307" t="str">
        <f t="shared" si="4"/>
        <v>תקין</v>
      </c>
      <c r="K179" s="537"/>
      <c r="L179" s="314" t="str">
        <f t="shared" si="5"/>
        <v/>
      </c>
      <c r="M179" s="557"/>
      <c r="N179" s="282"/>
      <c r="P179" s="42" t="s">
        <v>158</v>
      </c>
    </row>
    <row r="180" spans="1:16" ht="39" customHeight="1" x14ac:dyDescent="0.2">
      <c r="A180" s="488">
        <v>142</v>
      </c>
      <c r="B180" s="370" t="s">
        <v>118</v>
      </c>
      <c r="C180" s="370" t="s">
        <v>139</v>
      </c>
      <c r="D180" s="316">
        <f t="shared" si="3"/>
        <v>2016</v>
      </c>
      <c r="E180" s="317">
        <f>'גבייה וחייבים'!$G$21</f>
        <v>-4587</v>
      </c>
      <c r="F180" s="303"/>
      <c r="G180" s="315"/>
      <c r="H180" s="451"/>
      <c r="I180" s="317"/>
      <c r="J180" s="307" t="str">
        <f t="shared" si="4"/>
        <v>תקין</v>
      </c>
      <c r="K180" s="537"/>
      <c r="L180" s="314" t="str">
        <f t="shared" si="5"/>
        <v/>
      </c>
      <c r="M180" s="557"/>
      <c r="N180" s="282"/>
      <c r="P180" s="42" t="s">
        <v>159</v>
      </c>
    </row>
    <row r="181" spans="1:16" ht="30.75" customHeight="1" x14ac:dyDescent="0.2">
      <c r="A181" s="488">
        <v>143</v>
      </c>
      <c r="B181" s="370" t="s">
        <v>118</v>
      </c>
      <c r="C181" s="370" t="s">
        <v>160</v>
      </c>
      <c r="D181" s="316">
        <f t="shared" si="3"/>
        <v>2016</v>
      </c>
      <c r="E181" s="317">
        <f>'גבייה וחייבים'!M30</f>
        <v>484</v>
      </c>
      <c r="F181" s="303" t="s">
        <v>118</v>
      </c>
      <c r="G181" s="315" t="s">
        <v>161</v>
      </c>
      <c r="H181" s="451">
        <f>$F$3</f>
        <v>2017</v>
      </c>
      <c r="I181" s="317">
        <f>'גבייה וחייבים'!I9</f>
        <v>417</v>
      </c>
      <c r="J181" s="307" t="str">
        <f>IF($E181&lt;=$I181,$B$3,"")</f>
        <v/>
      </c>
      <c r="K181" s="537">
        <f>IF($E181&lt;=$I181,"",E181-I181)</f>
        <v>67</v>
      </c>
      <c r="L181" s="314" t="str">
        <f>IF($E181&lt;=$I181,"",P181)</f>
        <v>יתרה ריאלית לתחילת שנה אינה תואמת את יתרת הפיגורים לסוף השנה הקודמת</v>
      </c>
      <c r="M181" s="557"/>
      <c r="N181" s="282"/>
      <c r="P181" s="42" t="s">
        <v>162</v>
      </c>
    </row>
    <row r="182" spans="1:16" ht="25.5" x14ac:dyDescent="0.2">
      <c r="A182" s="488">
        <v>144</v>
      </c>
      <c r="B182" s="371" t="s">
        <v>118</v>
      </c>
      <c r="C182" s="371" t="s">
        <v>161</v>
      </c>
      <c r="D182" s="316">
        <f t="shared" ref="D182:D192" si="6">$F$3</f>
        <v>2017</v>
      </c>
      <c r="E182" s="321">
        <f>'גבייה וחייבים'!$I$9</f>
        <v>417</v>
      </c>
      <c r="F182" s="333"/>
      <c r="G182" s="334"/>
      <c r="H182" s="445"/>
      <c r="I182" s="321"/>
      <c r="J182" s="307" t="str">
        <f>IF(OR($E182&lt;&gt;0,'הגדרות כלליות'!$G$24='בדיקות הצלבה'!$L$3),$B$3,"")</f>
        <v>תקין</v>
      </c>
      <c r="K182" s="537"/>
      <c r="L182" s="314" t="str">
        <f>IF(OR($E182&lt;&gt;0,'הגדרות כלליות'!$G$24='בדיקות הצלבה'!$L$3),"",P182)</f>
        <v/>
      </c>
      <c r="M182" s="557"/>
      <c r="N182" s="282"/>
      <c r="P182" s="42" t="s">
        <v>163</v>
      </c>
    </row>
    <row r="183" spans="1:16" x14ac:dyDescent="0.2">
      <c r="A183" s="488">
        <v>145</v>
      </c>
      <c r="B183" s="371" t="s">
        <v>118</v>
      </c>
      <c r="C183" s="371" t="s">
        <v>164</v>
      </c>
      <c r="D183" s="316">
        <f t="shared" si="6"/>
        <v>2017</v>
      </c>
      <c r="E183" s="321">
        <f>'גבייה וחייבים'!$I$10</f>
        <v>0</v>
      </c>
      <c r="F183" s="333"/>
      <c r="G183" s="334"/>
      <c r="H183" s="445"/>
      <c r="I183" s="321"/>
      <c r="J183" s="307" t="str">
        <f>IF(OR($E183&lt;&gt;0,'הגדרות כלליות'!$G$24='בדיקות הצלבה'!$L$3),$B$3,"")</f>
        <v/>
      </c>
      <c r="K183" s="537"/>
      <c r="L183" s="314" t="str">
        <f>IF(OR($E183&lt;&gt;0,'הגדרות כלליות'!$G$24='בדיקות הצלבה'!$L$3),"",P183)</f>
        <v>חסרים נתוני חיוב / זיכוי נוסף - מים שנה נוכחית</v>
      </c>
      <c r="M183" s="557"/>
      <c r="N183" s="282"/>
      <c r="P183" s="42" t="s">
        <v>165</v>
      </c>
    </row>
    <row r="184" spans="1:16" ht="24" customHeight="1" x14ac:dyDescent="0.2">
      <c r="A184" s="488">
        <v>146</v>
      </c>
      <c r="B184" s="371" t="s">
        <v>118</v>
      </c>
      <c r="C184" s="371" t="s">
        <v>166</v>
      </c>
      <c r="D184" s="316">
        <f t="shared" si="6"/>
        <v>2017</v>
      </c>
      <c r="E184" s="321">
        <f>'גבייה וחייבים'!$I$11</f>
        <v>0</v>
      </c>
      <c r="F184" s="333"/>
      <c r="G184" s="334"/>
      <c r="H184" s="445"/>
      <c r="I184" s="321"/>
      <c r="J184" s="307" t="str">
        <f>IF(OR($E184&lt;&gt;0,'הגדרות כלליות'!$G$24='בדיקות הצלבה'!$L$3),$B$3,"")</f>
        <v/>
      </c>
      <c r="K184" s="537"/>
      <c r="L184" s="314" t="str">
        <f>IF(OR($E184&lt;&gt;0,'הגדרות כלליות'!$G$24='בדיקות הצלבה'!$L$3),"",P184)</f>
        <v>חסרים נתוני העברה לחובות מסופקים - מים שנה נוכחית</v>
      </c>
      <c r="M184" s="557"/>
      <c r="N184" s="282"/>
      <c r="P184" s="42" t="s">
        <v>167</v>
      </c>
    </row>
    <row r="185" spans="1:16" ht="25.5" x14ac:dyDescent="0.2">
      <c r="A185" s="488">
        <v>147</v>
      </c>
      <c r="B185" s="371" t="s">
        <v>118</v>
      </c>
      <c r="C185" s="371" t="s">
        <v>168</v>
      </c>
      <c r="D185" s="316">
        <f t="shared" si="6"/>
        <v>2017</v>
      </c>
      <c r="E185" s="321">
        <f>'גבייה וחייבים'!$I$12</f>
        <v>3.4899999999999993</v>
      </c>
      <c r="F185" s="333"/>
      <c r="G185" s="334"/>
      <c r="H185" s="445"/>
      <c r="I185" s="321"/>
      <c r="J185" s="307" t="str">
        <f>IF(OR($E185&lt;&gt;0,'הגדרות כלליות'!$G$24='בדיקות הצלבה'!$L$3),$B$3,"")</f>
        <v>תקין</v>
      </c>
      <c r="K185" s="537"/>
      <c r="L185" s="314" t="str">
        <f>IF(OR($E185&lt;&gt;0,'הגדרות כלליות'!$G$24='בדיקות הצלבה'!$L$3),"",P185)</f>
        <v/>
      </c>
      <c r="M185" s="557"/>
      <c r="N185" s="282"/>
      <c r="P185" s="42" t="s">
        <v>169</v>
      </c>
    </row>
    <row r="186" spans="1:16" ht="27" customHeight="1" x14ac:dyDescent="0.2">
      <c r="A186" s="488">
        <v>148</v>
      </c>
      <c r="B186" s="371" t="s">
        <v>118</v>
      </c>
      <c r="C186" s="371" t="s">
        <v>170</v>
      </c>
      <c r="D186" s="316">
        <f t="shared" si="6"/>
        <v>2017</v>
      </c>
      <c r="E186" s="321">
        <f>'גבייה וחייבים'!$I$13</f>
        <v>0</v>
      </c>
      <c r="F186" s="333"/>
      <c r="G186" s="334"/>
      <c r="H186" s="445"/>
      <c r="I186" s="321"/>
      <c r="J186" s="307" t="str">
        <f>IF(OR($E186&lt;&gt;0,'הגדרות כלליות'!$G$24='בדיקות הצלבה'!$L$3),$B$3,"")</f>
        <v/>
      </c>
      <c r="K186" s="537"/>
      <c r="L186" s="314" t="str">
        <f>IF(OR($E186&lt;&gt;0,'הגדרות כלליות'!$G$24='בדיקות הצלבה'!$L$3),"",P186)</f>
        <v>חסרים נתוני הנחות, פטורים, זיכויים ומחיקת חובות פיגורים - מים שנה נוכחית</v>
      </c>
      <c r="M186" s="557"/>
      <c r="N186" s="282"/>
      <c r="P186" s="42" t="s">
        <v>171</v>
      </c>
    </row>
    <row r="187" spans="1:16" x14ac:dyDescent="0.2">
      <c r="A187" s="488">
        <v>149</v>
      </c>
      <c r="B187" s="371" t="s">
        <v>118</v>
      </c>
      <c r="C187" s="371" t="s">
        <v>172</v>
      </c>
      <c r="D187" s="316">
        <f t="shared" si="6"/>
        <v>2017</v>
      </c>
      <c r="E187" s="321">
        <f>'גבייה וחייבים'!$I$16</f>
        <v>38.5</v>
      </c>
      <c r="F187" s="333"/>
      <c r="G187" s="334"/>
      <c r="H187" s="445"/>
      <c r="I187" s="321"/>
      <c r="J187" s="307" t="str">
        <f>IF(OR($E187&lt;&gt;0,'הגדרות כלליות'!$G$24='בדיקות הצלבה'!$L$3),$B$3,"")</f>
        <v>תקין</v>
      </c>
      <c r="K187" s="537"/>
      <c r="L187" s="314" t="str">
        <f>IF(OR($E187&lt;&gt;0,'הגדרות כלליות'!$G$24='בדיקות הצלבה'!$L$3),"",P187)</f>
        <v/>
      </c>
      <c r="M187" s="557"/>
      <c r="N187" s="282"/>
      <c r="P187" s="42" t="s">
        <v>173</v>
      </c>
    </row>
    <row r="188" spans="1:16" x14ac:dyDescent="0.2">
      <c r="A188" s="488">
        <v>150</v>
      </c>
      <c r="B188" s="371" t="s">
        <v>118</v>
      </c>
      <c r="C188" s="371" t="s">
        <v>174</v>
      </c>
      <c r="D188" s="316">
        <f t="shared" si="6"/>
        <v>2017</v>
      </c>
      <c r="E188" s="321">
        <f>'גבייה וחייבים'!$I$19</f>
        <v>310</v>
      </c>
      <c r="F188" s="333"/>
      <c r="G188" s="334"/>
      <c r="H188" s="445"/>
      <c r="I188" s="321"/>
      <c r="J188" s="307" t="str">
        <f>IF(OR($E188&lt;&gt;0,'הגדרות כלליות'!$G$24='בדיקות הצלבה'!$L$3),$B$3,"")</f>
        <v>תקין</v>
      </c>
      <c r="K188" s="537"/>
      <c r="L188" s="314" t="str">
        <f>IF(OR($E188&lt;&gt;0,'הגדרות כלליות'!$G$24='בדיקות הצלבה'!$L$3),"",P188)</f>
        <v/>
      </c>
      <c r="M188" s="557"/>
      <c r="N188" s="282"/>
      <c r="P188" s="42" t="s">
        <v>175</v>
      </c>
    </row>
    <row r="189" spans="1:16" ht="25.5" x14ac:dyDescent="0.2">
      <c r="A189" s="488">
        <v>151</v>
      </c>
      <c r="B189" s="371" t="s">
        <v>118</v>
      </c>
      <c r="C189" s="371" t="s">
        <v>176</v>
      </c>
      <c r="D189" s="316">
        <f t="shared" si="6"/>
        <v>2017</v>
      </c>
      <c r="E189" s="321">
        <f>'גבייה וחייבים'!$I$20</f>
        <v>0.28999999999999998</v>
      </c>
      <c r="F189" s="333"/>
      <c r="G189" s="334"/>
      <c r="H189" s="445"/>
      <c r="I189" s="321"/>
      <c r="J189" s="307" t="str">
        <f>IF(OR($E189&lt;&gt;0,'הגדרות כלליות'!$G$24='בדיקות הצלבה'!$L$3),$B$3,"")</f>
        <v>תקין</v>
      </c>
      <c r="K189" s="537"/>
      <c r="L189" s="314" t="str">
        <f>IF(OR($E189&lt;&gt;0,'הגדרות כלליות'!$G$24='בדיקות הצלבה'!$L$3),"",P189)</f>
        <v/>
      </c>
      <c r="M189" s="557"/>
      <c r="N189" s="282"/>
      <c r="P189" s="42" t="s">
        <v>177</v>
      </c>
    </row>
    <row r="190" spans="1:16" ht="25.5" x14ac:dyDescent="0.2">
      <c r="A190" s="488">
        <v>152</v>
      </c>
      <c r="B190" s="371" t="s">
        <v>118</v>
      </c>
      <c r="C190" s="371" t="s">
        <v>178</v>
      </c>
      <c r="D190" s="316">
        <f t="shared" si="6"/>
        <v>2017</v>
      </c>
      <c r="E190" s="321">
        <f>'גבייה וחייבים'!$I$21</f>
        <v>0</v>
      </c>
      <c r="F190" s="333"/>
      <c r="G190" s="334"/>
      <c r="H190" s="445"/>
      <c r="I190" s="321"/>
      <c r="J190" s="307" t="str">
        <f>IF(OR($E190&lt;&gt;0,'הגדרות כלליות'!$G$24='בדיקות הצלבה'!$L$3),$B$3,"")</f>
        <v/>
      </c>
      <c r="K190" s="537"/>
      <c r="L190" s="314" t="str">
        <f>IF(OR($E190&lt;&gt;0,'הגדרות כלליות'!$G$24='בדיקות הצלבה'!$L$3),"",P190)</f>
        <v>חסרים נתוני הנחות, פטורים, זיכויים ומחיקת חובות שוטף - מים שנה נוכחית</v>
      </c>
      <c r="M190" s="557"/>
      <c r="N190" s="282"/>
      <c r="P190" s="42" t="s">
        <v>179</v>
      </c>
    </row>
    <row r="191" spans="1:16" x14ac:dyDescent="0.2">
      <c r="A191" s="488">
        <v>153</v>
      </c>
      <c r="B191" s="371" t="s">
        <v>118</v>
      </c>
      <c r="C191" s="371" t="s">
        <v>180</v>
      </c>
      <c r="D191" s="316">
        <f t="shared" si="6"/>
        <v>2017</v>
      </c>
      <c r="E191" s="321">
        <f>'גבייה וחייבים'!$I$24</f>
        <v>0</v>
      </c>
      <c r="F191" s="333"/>
      <c r="G191" s="334"/>
      <c r="H191" s="445"/>
      <c r="I191" s="321"/>
      <c r="J191" s="307" t="str">
        <f>IF(OR($E191&lt;&gt;0,'הגדרות כלליות'!$G$24='בדיקות הצלבה'!$L$3),$B$3,"")</f>
        <v/>
      </c>
      <c r="K191" s="537"/>
      <c r="L191" s="314" t="str">
        <f>IF(OR($E191&lt;&gt;0,'הגדרות כלליות'!$G$24='בדיקות הצלבה'!$L$3),"",P191)</f>
        <v>חסרים נתוני גבייה מראש לשנה - מים שנה נוכחית</v>
      </c>
      <c r="M191" s="557"/>
      <c r="N191" s="282"/>
      <c r="P191" s="42" t="s">
        <v>190</v>
      </c>
    </row>
    <row r="192" spans="1:16" x14ac:dyDescent="0.2">
      <c r="A192" s="488">
        <v>154</v>
      </c>
      <c r="B192" s="371" t="s">
        <v>118</v>
      </c>
      <c r="C192" s="371" t="s">
        <v>191</v>
      </c>
      <c r="D192" s="316">
        <f t="shared" si="6"/>
        <v>2017</v>
      </c>
      <c r="E192" s="321">
        <f>'גבייה וחייבים'!$I$25</f>
        <v>189</v>
      </c>
      <c r="F192" s="333"/>
      <c r="G192" s="334"/>
      <c r="H192" s="445"/>
      <c r="I192" s="321"/>
      <c r="J192" s="307" t="str">
        <f>IF(OR($E192&lt;&gt;0,'הגדרות כלליות'!$G$24='בדיקות הצלבה'!$L$3),$B$3,"")</f>
        <v>תקין</v>
      </c>
      <c r="K192" s="537"/>
      <c r="L192" s="314" t="str">
        <f>IF(OR($E192&lt;&gt;0,'הגדרות כלליות'!$G$24='בדיקות הצלבה'!$L$3),"",P192)</f>
        <v/>
      </c>
      <c r="M192" s="557"/>
      <c r="N192" s="282"/>
      <c r="P192" s="42" t="s">
        <v>192</v>
      </c>
    </row>
    <row r="193" spans="1:16" x14ac:dyDescent="0.2">
      <c r="A193" s="488"/>
      <c r="B193" s="371"/>
      <c r="C193" s="371"/>
      <c r="D193" s="316"/>
      <c r="E193" s="321"/>
      <c r="F193" s="333"/>
      <c r="G193" s="334"/>
      <c r="H193" s="445"/>
      <c r="I193" s="321"/>
      <c r="J193" s="307"/>
      <c r="K193" s="537"/>
      <c r="L193" s="314"/>
      <c r="M193" s="557"/>
      <c r="N193" s="282"/>
    </row>
    <row r="194" spans="1:16" ht="25.5" x14ac:dyDescent="0.2">
      <c r="A194" s="488">
        <v>155</v>
      </c>
      <c r="B194" s="371" t="s">
        <v>118</v>
      </c>
      <c r="C194" s="371" t="s">
        <v>161</v>
      </c>
      <c r="D194" s="316">
        <f t="shared" ref="D194:D215" si="7">$G$3</f>
        <v>2016</v>
      </c>
      <c r="E194" s="321">
        <f>'גבייה וחייבים'!$K$9</f>
        <v>417</v>
      </c>
      <c r="F194" s="333"/>
      <c r="G194" s="334"/>
      <c r="H194" s="445"/>
      <c r="I194" s="321"/>
      <c r="J194" s="307" t="str">
        <f>IF(OR($E194&lt;&gt;0,'הגדרות כלליות'!$D$19=1,'הגדרות כלליות'!$D$17=3,'הגדרות כלליות'!$G$24='בדיקות הצלבה'!$L$3),$B$3,"")</f>
        <v>תקין</v>
      </c>
      <c r="K194" s="537"/>
      <c r="L194" s="314" t="str">
        <f>IF(OR($E194&lt;&gt;0,'הגדרות כלליות'!$D$19=1,'הגדרות כלליות'!$D$17=3,'הגדרות כלליות'!$G$24='בדיקות הצלבה'!$L$3),"",P194)</f>
        <v/>
      </c>
      <c r="M194" s="557"/>
      <c r="N194" s="282"/>
      <c r="P194" s="42" t="s">
        <v>193</v>
      </c>
    </row>
    <row r="195" spans="1:16" x14ac:dyDescent="0.2">
      <c r="A195" s="488">
        <v>156</v>
      </c>
      <c r="B195" s="371" t="s">
        <v>118</v>
      </c>
      <c r="C195" s="371" t="s">
        <v>164</v>
      </c>
      <c r="D195" s="316">
        <f t="shared" si="7"/>
        <v>2016</v>
      </c>
      <c r="E195" s="321">
        <f>'גבייה וחייבים'!$K$10</f>
        <v>0</v>
      </c>
      <c r="F195" s="333"/>
      <c r="G195" s="334"/>
      <c r="H195" s="445"/>
      <c r="I195" s="321"/>
      <c r="J195" s="307" t="str">
        <f>IF(OR($E195&lt;&gt;0,'הגדרות כלליות'!$D$19=1,'הגדרות כלליות'!$D$17=3,'הגדרות כלליות'!$G$24='בדיקות הצלבה'!$L$3),$B$3,"")</f>
        <v/>
      </c>
      <c r="K195" s="537"/>
      <c r="L195" s="314" t="str">
        <f>IF(OR($E195&lt;&gt;0,'הגדרות כלליות'!$D$19=1,'הגדרות כלליות'!$D$17=3,'הגדרות כלליות'!$G$24='בדיקות הצלבה'!$L$3),"",P195)</f>
        <v>חסרים נתוני חיוב / זיכוי נוסף - מים שנה קודמת</v>
      </c>
      <c r="M195" s="557"/>
      <c r="N195" s="282"/>
      <c r="P195" s="42" t="s">
        <v>194</v>
      </c>
    </row>
    <row r="196" spans="1:16" ht="24" customHeight="1" x14ac:dyDescent="0.2">
      <c r="A196" s="488">
        <v>157</v>
      </c>
      <c r="B196" s="371" t="s">
        <v>118</v>
      </c>
      <c r="C196" s="371" t="s">
        <v>166</v>
      </c>
      <c r="D196" s="316">
        <f t="shared" si="7"/>
        <v>2016</v>
      </c>
      <c r="E196" s="321">
        <f>'גבייה וחייבים'!$K$11</f>
        <v>0</v>
      </c>
      <c r="F196" s="333"/>
      <c r="G196" s="334"/>
      <c r="H196" s="445"/>
      <c r="I196" s="321"/>
      <c r="J196" s="307" t="str">
        <f>IF(OR($E196&lt;&gt;0,'הגדרות כלליות'!$D$19=1,'הגדרות כלליות'!$D$17=3,'הגדרות כלליות'!$G$24='בדיקות הצלבה'!$L$3),$B$3,"")</f>
        <v/>
      </c>
      <c r="K196" s="537"/>
      <c r="L196" s="314" t="str">
        <f>IF(OR($E196&lt;&gt;0,'הגדרות כלליות'!$D$19=1,'הגדרות כלליות'!$D$17=3,'הגדרות כלליות'!$G$24='בדיקות הצלבה'!$L$3),"",P196)</f>
        <v>חסרים נתוני העברה לחובות מסופקים - מים שנה קודמת</v>
      </c>
      <c r="M196" s="557"/>
      <c r="N196" s="282"/>
      <c r="P196" s="42" t="s">
        <v>195</v>
      </c>
    </row>
    <row r="197" spans="1:16" ht="25.5" x14ac:dyDescent="0.2">
      <c r="A197" s="488">
        <v>158</v>
      </c>
      <c r="B197" s="371" t="s">
        <v>118</v>
      </c>
      <c r="C197" s="371" t="s">
        <v>168</v>
      </c>
      <c r="D197" s="316">
        <f t="shared" si="7"/>
        <v>2016</v>
      </c>
      <c r="E197" s="321">
        <f>'גבייה וחייבים'!$K$12</f>
        <v>4</v>
      </c>
      <c r="F197" s="333"/>
      <c r="G197" s="334"/>
      <c r="H197" s="445"/>
      <c r="I197" s="321"/>
      <c r="J197" s="307" t="str">
        <f>IF(OR($E197&lt;&gt;0,'הגדרות כלליות'!$D$19=1,'הגדרות כלליות'!$D$17=3,'הגדרות כלליות'!$G$24='בדיקות הצלבה'!$L$3),$B$3,"")</f>
        <v>תקין</v>
      </c>
      <c r="K197" s="537"/>
      <c r="L197" s="314" t="str">
        <f>IF(OR($E197&lt;&gt;0,'הגדרות כלליות'!$D$19=1,'הגדרות כלליות'!$D$17=3,'הגדרות כלליות'!$G$24='בדיקות הצלבה'!$L$3),"",P197)</f>
        <v/>
      </c>
      <c r="M197" s="557"/>
      <c r="N197" s="282"/>
      <c r="P197" s="42" t="s">
        <v>196</v>
      </c>
    </row>
    <row r="198" spans="1:16" ht="27" customHeight="1" x14ac:dyDescent="0.2">
      <c r="A198" s="488">
        <v>159</v>
      </c>
      <c r="B198" s="371" t="s">
        <v>118</v>
      </c>
      <c r="C198" s="371" t="s">
        <v>170</v>
      </c>
      <c r="D198" s="316">
        <f t="shared" si="7"/>
        <v>2016</v>
      </c>
      <c r="E198" s="321">
        <f>'גבייה וחייבים'!$K$13</f>
        <v>0</v>
      </c>
      <c r="F198" s="333"/>
      <c r="G198" s="334"/>
      <c r="H198" s="445"/>
      <c r="I198" s="321"/>
      <c r="J198" s="307" t="str">
        <f>IF(OR($E198&lt;&gt;0,'הגדרות כלליות'!$D$19=1,'הגדרות כלליות'!$D$17=3,'הגדרות כלליות'!$G$24='בדיקות הצלבה'!$L$3),$B$3,"")</f>
        <v/>
      </c>
      <c r="K198" s="537"/>
      <c r="L198" s="314" t="str">
        <f>IF(OR($E198&lt;&gt;0,'הגדרות כלליות'!$D$19=1,'הגדרות כלליות'!$D$17=3,'הגדרות כלליות'!$G$24='בדיקות הצלבה'!$L$3),"",P198)</f>
        <v>חסרים נתוני הנחות, פטורים, זיכויים ומחיקת חובות פיגורים - מים שנה קודמת</v>
      </c>
      <c r="M198" s="557"/>
      <c r="N198" s="282"/>
      <c r="P198" s="42" t="s">
        <v>197</v>
      </c>
    </row>
    <row r="199" spans="1:16" x14ac:dyDescent="0.2">
      <c r="A199" s="488">
        <v>160</v>
      </c>
      <c r="B199" s="371" t="s">
        <v>118</v>
      </c>
      <c r="C199" s="371" t="s">
        <v>172</v>
      </c>
      <c r="D199" s="316">
        <f t="shared" si="7"/>
        <v>2016</v>
      </c>
      <c r="E199" s="321">
        <f>'גבייה וחייבים'!$K$16</f>
        <v>19</v>
      </c>
      <c r="F199" s="333"/>
      <c r="G199" s="334"/>
      <c r="H199" s="445"/>
      <c r="I199" s="321"/>
      <c r="J199" s="307" t="str">
        <f>IF(OR($E199&lt;&gt;0,'הגדרות כלליות'!$D$19=1,'הגדרות כלליות'!$D$17=3,'הגדרות כלליות'!$G$24='בדיקות הצלבה'!$L$3),$B$3,"")</f>
        <v>תקין</v>
      </c>
      <c r="K199" s="537"/>
      <c r="L199" s="314" t="str">
        <f>IF(OR($E199&lt;&gt;0,'הגדרות כלליות'!$D$19=1,'הגדרות כלליות'!$D$17=3,'הגדרות כלליות'!$G$24='בדיקות הצלבה'!$L$3),"",P199)</f>
        <v/>
      </c>
      <c r="M199" s="557"/>
      <c r="N199" s="282"/>
      <c r="P199" s="42" t="s">
        <v>198</v>
      </c>
    </row>
    <row r="200" spans="1:16" x14ac:dyDescent="0.2">
      <c r="A200" s="488">
        <v>161</v>
      </c>
      <c r="B200" s="371" t="s">
        <v>118</v>
      </c>
      <c r="C200" s="371" t="s">
        <v>174</v>
      </c>
      <c r="D200" s="316">
        <f t="shared" si="7"/>
        <v>2016</v>
      </c>
      <c r="E200" s="321">
        <f>'גבייה וחייבים'!$K$19</f>
        <v>274</v>
      </c>
      <c r="F200" s="333"/>
      <c r="G200" s="334"/>
      <c r="H200" s="445"/>
      <c r="I200" s="321"/>
      <c r="J200" s="307" t="str">
        <f>IF(OR($E200&lt;&gt;0,'הגדרות כלליות'!$D$19=1,'הגדרות כלליות'!$D$17=3,'הגדרות כלליות'!$G$24='בדיקות הצלבה'!$L$3),$B$3,"")</f>
        <v>תקין</v>
      </c>
      <c r="K200" s="537"/>
      <c r="L200" s="314" t="str">
        <f>IF(OR($E200&lt;&gt;0,'הגדרות כלליות'!$D$19=1,'הגדרות כלליות'!$D$17=3,'הגדרות כלליות'!$G$24='בדיקות הצלבה'!$L$3),"",P200)</f>
        <v/>
      </c>
      <c r="M200" s="557"/>
      <c r="N200" s="282"/>
      <c r="P200" s="42" t="s">
        <v>199</v>
      </c>
    </row>
    <row r="201" spans="1:16" ht="25.5" x14ac:dyDescent="0.2">
      <c r="A201" s="488">
        <v>162</v>
      </c>
      <c r="B201" s="371" t="s">
        <v>118</v>
      </c>
      <c r="C201" s="371" t="s">
        <v>176</v>
      </c>
      <c r="D201" s="316">
        <f t="shared" si="7"/>
        <v>2016</v>
      </c>
      <c r="E201" s="321">
        <f>'גבייה וחייבים'!$K$20</f>
        <v>0</v>
      </c>
      <c r="F201" s="333"/>
      <c r="G201" s="334"/>
      <c r="H201" s="445"/>
      <c r="I201" s="321"/>
      <c r="J201" s="307" t="str">
        <f>IF(OR($E201&lt;&gt;0,'הגדרות כלליות'!$D$19=1,'הגדרות כלליות'!$D$17=3,'הגדרות כלליות'!$G$24='בדיקות הצלבה'!$L$3),$B$3,"")</f>
        <v/>
      </c>
      <c r="K201" s="537"/>
      <c r="L201" s="314" t="str">
        <f>IF(OR($E201&lt;&gt;0,'הגדרות כלליות'!$D$19=1,'הגדרות כלליות'!$D$17=3,'הגדרות כלליות'!$G$24='בדיקות הצלבה'!$L$3),"",P201)</f>
        <v>חסרים נתוני חיוב / זיכוי נוסף כולל ריבית והצמדה - מים שנה קודמת</v>
      </c>
      <c r="M201" s="557"/>
      <c r="N201" s="282"/>
      <c r="P201" s="42" t="s">
        <v>200</v>
      </c>
    </row>
    <row r="202" spans="1:16" ht="25.5" x14ac:dyDescent="0.2">
      <c r="A202" s="488">
        <v>163</v>
      </c>
      <c r="B202" s="371" t="s">
        <v>118</v>
      </c>
      <c r="C202" s="371" t="s">
        <v>178</v>
      </c>
      <c r="D202" s="316">
        <f t="shared" si="7"/>
        <v>2016</v>
      </c>
      <c r="E202" s="321">
        <f>'גבייה וחייבים'!$K$21</f>
        <v>0</v>
      </c>
      <c r="F202" s="333"/>
      <c r="G202" s="334"/>
      <c r="H202" s="445"/>
      <c r="I202" s="321"/>
      <c r="J202" s="307" t="str">
        <f>IF(OR($E202&lt;&gt;0,'הגדרות כלליות'!$D$19=1,'הגדרות כלליות'!$D$17=3,'הגדרות כלליות'!$G$24='בדיקות הצלבה'!$L$3),$B$3,"")</f>
        <v/>
      </c>
      <c r="K202" s="537"/>
      <c r="L202" s="314" t="str">
        <f>IF(OR($E202&lt;&gt;0,'הגדרות כלליות'!$D$19=1,'הגדרות כלליות'!$D$17=3,'הגדרות כלליות'!$G$24='בדיקות הצלבה'!$L$3),"",P202)</f>
        <v>חסרים נתוני הנחות, פטורים, זיכויים ומחיקת חובות שוטף - מים שנה נוכחית</v>
      </c>
      <c r="M202" s="557"/>
      <c r="N202" s="282"/>
      <c r="P202" s="42" t="s">
        <v>179</v>
      </c>
    </row>
    <row r="203" spans="1:16" x14ac:dyDescent="0.2">
      <c r="A203" s="488">
        <v>164</v>
      </c>
      <c r="B203" s="371" t="s">
        <v>118</v>
      </c>
      <c r="C203" s="371" t="s">
        <v>180</v>
      </c>
      <c r="D203" s="316">
        <f t="shared" si="7"/>
        <v>2016</v>
      </c>
      <c r="E203" s="321">
        <f>'גבייה וחייבים'!$K$24</f>
        <v>0</v>
      </c>
      <c r="F203" s="333"/>
      <c r="G203" s="334"/>
      <c r="H203" s="445"/>
      <c r="I203" s="321"/>
      <c r="J203" s="307" t="str">
        <f>IF(OR($E203&lt;&gt;0,'הגדרות כלליות'!$D$19=1,'הגדרות כלליות'!$D$17=3,'הגדרות כלליות'!$G$24='בדיקות הצלבה'!$L$3),$B$3,"")</f>
        <v/>
      </c>
      <c r="K203" s="537"/>
      <c r="L203" s="314" t="str">
        <f>IF(OR($E203&lt;&gt;0,'הגדרות כלליות'!$D$19=1,'הגדרות כלליות'!$D$17=3,'הגדרות כלליות'!$G$24='בדיקות הצלבה'!$L$3),"",P203)</f>
        <v>חסרים נתוני גבייה מראש לשנה - מים שנה נוכחית</v>
      </c>
      <c r="M203" s="557"/>
      <c r="N203" s="282"/>
      <c r="P203" s="42" t="s">
        <v>190</v>
      </c>
    </row>
    <row r="204" spans="1:16" x14ac:dyDescent="0.2">
      <c r="A204" s="488">
        <v>165</v>
      </c>
      <c r="B204" s="371" t="s">
        <v>118</v>
      </c>
      <c r="C204" s="371" t="s">
        <v>191</v>
      </c>
      <c r="D204" s="316">
        <f t="shared" si="7"/>
        <v>2016</v>
      </c>
      <c r="E204" s="321">
        <f>'גבייה וחייבים'!$K$25</f>
        <v>187</v>
      </c>
      <c r="F204" s="333"/>
      <c r="G204" s="334"/>
      <c r="H204" s="445"/>
      <c r="I204" s="321"/>
      <c r="J204" s="307" t="str">
        <f>IF(OR($E204&lt;&gt;0,'הגדרות כלליות'!$D$19=1,'הגדרות כלליות'!$D$17=3,'הגדרות כלליות'!$G$24='בדיקות הצלבה'!$L$3),$B$3,"")</f>
        <v>תקין</v>
      </c>
      <c r="K204" s="537"/>
      <c r="L204" s="314" t="str">
        <f>IF(OR($E204&lt;&gt;0,'הגדרות כלליות'!$D$19=1,'הגדרות כלליות'!$D$17=3,'הגדרות כלליות'!$G$24='בדיקות הצלבה'!$L$3),"",P204)</f>
        <v/>
      </c>
      <c r="M204" s="557"/>
      <c r="N204" s="282"/>
      <c r="P204" s="42" t="s">
        <v>192</v>
      </c>
    </row>
    <row r="205" spans="1:16" ht="25.5" x14ac:dyDescent="0.2">
      <c r="A205" s="488">
        <v>166</v>
      </c>
      <c r="B205" s="371" t="s">
        <v>118</v>
      </c>
      <c r="C205" s="371" t="s">
        <v>161</v>
      </c>
      <c r="D205" s="316">
        <f t="shared" si="7"/>
        <v>2016</v>
      </c>
      <c r="E205" s="321">
        <f>'גבייה וחייבים'!$M$9</f>
        <v>417</v>
      </c>
      <c r="F205" s="333"/>
      <c r="G205" s="334"/>
      <c r="H205" s="445"/>
      <c r="I205" s="321"/>
      <c r="J205" s="307" t="str">
        <f>IF(OR($E205&lt;&gt;0,'הגדרות כלליות'!$D$19=1,'הגדרות כלליות'!$D$17=3,'הגדרות כלליות'!$G$24='בדיקות הצלבה'!$L$3),$B$3,"")</f>
        <v>תקין</v>
      </c>
      <c r="K205" s="537"/>
      <c r="L205" s="314" t="str">
        <f>IF(OR($E205&lt;&gt;0,'הגדרות כלליות'!$D$19=1,'הגדרות כלליות'!$D$17=3,'הגדרות כלליות'!$G$24='בדיקות הצלבה'!$L$3),"",P205)</f>
        <v/>
      </c>
      <c r="M205" s="557"/>
      <c r="N205" s="282"/>
      <c r="P205" s="42" t="s">
        <v>193</v>
      </c>
    </row>
    <row r="206" spans="1:16" x14ac:dyDescent="0.2">
      <c r="A206" s="488">
        <v>167</v>
      </c>
      <c r="B206" s="371" t="s">
        <v>118</v>
      </c>
      <c r="C206" s="371" t="s">
        <v>164</v>
      </c>
      <c r="D206" s="316">
        <f t="shared" si="7"/>
        <v>2016</v>
      </c>
      <c r="E206" s="321">
        <f>'גבייה וחייבים'!$M$10</f>
        <v>-28</v>
      </c>
      <c r="F206" s="333"/>
      <c r="G206" s="334"/>
      <c r="H206" s="445"/>
      <c r="I206" s="321"/>
      <c r="J206" s="307" t="str">
        <f>IF(OR($E206&lt;&gt;0,'הגדרות כלליות'!$D$19=1,'הגדרות כלליות'!$D$17=3,'הגדרות כלליות'!$G$24='בדיקות הצלבה'!$L$3),$B$3,"")</f>
        <v>תקין</v>
      </c>
      <c r="K206" s="537"/>
      <c r="L206" s="314" t="str">
        <f>IF(OR($E206&lt;&gt;0,'הגדרות כלליות'!$D$19=1,'הגדרות כלליות'!$D$17=3,'הגדרות כלליות'!$G$24='בדיקות הצלבה'!$L$3),"",P206)</f>
        <v/>
      </c>
      <c r="M206" s="557"/>
      <c r="N206" s="282"/>
      <c r="P206" s="42" t="s">
        <v>194</v>
      </c>
    </row>
    <row r="207" spans="1:16" ht="24" customHeight="1" x14ac:dyDescent="0.2">
      <c r="A207" s="488">
        <v>168</v>
      </c>
      <c r="B207" s="371" t="s">
        <v>118</v>
      </c>
      <c r="C207" s="371" t="s">
        <v>166</v>
      </c>
      <c r="D207" s="316">
        <f t="shared" si="7"/>
        <v>2016</v>
      </c>
      <c r="E207" s="321">
        <f>'גבייה וחייבים'!$M$11</f>
        <v>0</v>
      </c>
      <c r="F207" s="333"/>
      <c r="G207" s="334"/>
      <c r="H207" s="445"/>
      <c r="I207" s="321"/>
      <c r="J207" s="307" t="str">
        <f>IF(OR($E207&lt;&gt;0,'הגדרות כלליות'!$D$19=1,'הגדרות כלליות'!$D$17=3,'הגדרות כלליות'!$G$24='בדיקות הצלבה'!$L$3),$B$3,"")</f>
        <v/>
      </c>
      <c r="K207" s="537"/>
      <c r="L207" s="314" t="str">
        <f>IF(OR($E207&lt;&gt;0,'הגדרות כלליות'!$D$19=1,'הגדרות כלליות'!$D$17=3,'הגדרות כלליות'!$G$24='בדיקות הצלבה'!$L$3),"",P207)</f>
        <v>חסרים נתוני העברה לחובות מסופקים - מים שנה קודמת</v>
      </c>
      <c r="M207" s="557"/>
      <c r="N207" s="282"/>
      <c r="P207" s="42" t="s">
        <v>195</v>
      </c>
    </row>
    <row r="208" spans="1:16" ht="25.5" x14ac:dyDescent="0.2">
      <c r="A208" s="488">
        <v>169</v>
      </c>
      <c r="B208" s="371" t="s">
        <v>118</v>
      </c>
      <c r="C208" s="371" t="s">
        <v>168</v>
      </c>
      <c r="D208" s="316">
        <f t="shared" si="7"/>
        <v>2016</v>
      </c>
      <c r="E208" s="321">
        <f>'גבייה וחייבים'!$M$12</f>
        <v>20</v>
      </c>
      <c r="F208" s="333"/>
      <c r="G208" s="334"/>
      <c r="H208" s="445"/>
      <c r="I208" s="321"/>
      <c r="J208" s="307" t="str">
        <f>IF(OR($E208&lt;&gt;0,'הגדרות כלליות'!$D$19=1,'הגדרות כלליות'!$D$17=3,'הגדרות כלליות'!$G$24='בדיקות הצלבה'!$L$3),$B$3,"")</f>
        <v>תקין</v>
      </c>
      <c r="K208" s="537"/>
      <c r="L208" s="314" t="str">
        <f>IF(OR($E208&lt;&gt;0,'הגדרות כלליות'!$D$19=1,'הגדרות כלליות'!$D$17=3,'הגדרות כלליות'!$G$24='בדיקות הצלבה'!$L$3),"",P208)</f>
        <v/>
      </c>
      <c r="M208" s="557"/>
      <c r="N208" s="282"/>
      <c r="P208" s="42" t="s">
        <v>196</v>
      </c>
    </row>
    <row r="209" spans="1:16" ht="27" customHeight="1" x14ac:dyDescent="0.2">
      <c r="A209" s="488">
        <v>170</v>
      </c>
      <c r="B209" s="371" t="s">
        <v>118</v>
      </c>
      <c r="C209" s="371" t="s">
        <v>170</v>
      </c>
      <c r="D209" s="316">
        <f t="shared" si="7"/>
        <v>2016</v>
      </c>
      <c r="E209" s="321">
        <f>'גבייה וחייבים'!$M$13</f>
        <v>0</v>
      </c>
      <c r="F209" s="333"/>
      <c r="G209" s="334"/>
      <c r="H209" s="445"/>
      <c r="I209" s="321"/>
      <c r="J209" s="307" t="str">
        <f>IF(OR($E209&lt;&gt;0,'הגדרות כלליות'!$D$19=1,'הגדרות כלליות'!$D$17=3,'הגדרות כלליות'!$G$24='בדיקות הצלבה'!$L$3),$B$3,"")</f>
        <v/>
      </c>
      <c r="K209" s="537"/>
      <c r="L209" s="314" t="str">
        <f>IF(OR($E209&lt;&gt;0,'הגדרות כלליות'!$D$19=1,'הגדרות כלליות'!$D$17=3,'הגדרות כלליות'!$G$24='בדיקות הצלבה'!$L$3),"",P209)</f>
        <v>חסרים נתוני הנחות, פטורים, זיכויים ומחיקת חובות פיגורים - מים שנה קודמת</v>
      </c>
      <c r="M209" s="557"/>
      <c r="N209" s="282"/>
      <c r="P209" s="42" t="s">
        <v>197</v>
      </c>
    </row>
    <row r="210" spans="1:16" x14ac:dyDescent="0.2">
      <c r="A210" s="488">
        <v>171</v>
      </c>
      <c r="B210" s="371" t="s">
        <v>118</v>
      </c>
      <c r="C210" s="371" t="s">
        <v>172</v>
      </c>
      <c r="D210" s="316">
        <f t="shared" si="7"/>
        <v>2016</v>
      </c>
      <c r="E210" s="321">
        <f>'גבייה וחייבים'!$M$16</f>
        <v>56</v>
      </c>
      <c r="F210" s="333"/>
      <c r="G210" s="334"/>
      <c r="H210" s="445"/>
      <c r="I210" s="321"/>
      <c r="J210" s="307" t="str">
        <f>IF(OR($E210&lt;&gt;0,'הגדרות כלליות'!$D$19=1,'הגדרות כלליות'!$D$17=3,'הגדרות כלליות'!$G$24='בדיקות הצלבה'!$L$3),$B$3,"")</f>
        <v>תקין</v>
      </c>
      <c r="K210" s="537"/>
      <c r="L210" s="314" t="str">
        <f>IF(OR($E210&lt;&gt;0,'הגדרות כלליות'!$D$19=1,'הגדרות כלליות'!$D$17=3,'הגדרות כלליות'!$G$24='בדיקות הצלבה'!$L$3),"",P210)</f>
        <v/>
      </c>
      <c r="M210" s="557"/>
      <c r="N210" s="282"/>
      <c r="P210" s="42" t="s">
        <v>198</v>
      </c>
    </row>
    <row r="211" spans="1:16" x14ac:dyDescent="0.2">
      <c r="A211" s="488">
        <v>172</v>
      </c>
      <c r="B211" s="371" t="s">
        <v>118</v>
      </c>
      <c r="C211" s="371" t="s">
        <v>174</v>
      </c>
      <c r="D211" s="316">
        <f t="shared" si="7"/>
        <v>2016</v>
      </c>
      <c r="E211" s="321">
        <f>'גבייה וחייבים'!$M$19</f>
        <v>1057</v>
      </c>
      <c r="F211" s="333"/>
      <c r="G211" s="334"/>
      <c r="H211" s="445"/>
      <c r="I211" s="321"/>
      <c r="J211" s="307" t="str">
        <f>IF(OR($E211&lt;&gt;0,'הגדרות כלליות'!$D$19=1,'הגדרות כלליות'!$D$17=3,'הגדרות כלליות'!$G$24='בדיקות הצלבה'!$L$3),$B$3,"")</f>
        <v>תקין</v>
      </c>
      <c r="K211" s="537"/>
      <c r="L211" s="314" t="str">
        <f>IF(OR($E211&lt;&gt;0,'הגדרות כלליות'!$D$19=1,'הגדרות כלליות'!$D$17=3,'הגדרות כלליות'!$G$24='בדיקות הצלבה'!$L$3),"",P211)</f>
        <v/>
      </c>
      <c r="M211" s="557"/>
      <c r="N211" s="282"/>
      <c r="P211" s="42" t="s">
        <v>199</v>
      </c>
    </row>
    <row r="212" spans="1:16" ht="25.5" x14ac:dyDescent="0.2">
      <c r="A212" s="488">
        <v>173</v>
      </c>
      <c r="B212" s="371" t="s">
        <v>118</v>
      </c>
      <c r="C212" s="371" t="s">
        <v>176</v>
      </c>
      <c r="D212" s="316">
        <f t="shared" si="7"/>
        <v>2016</v>
      </c>
      <c r="E212" s="321">
        <f>'גבייה וחייבים'!$M$20</f>
        <v>8</v>
      </c>
      <c r="F212" s="333"/>
      <c r="G212" s="334"/>
      <c r="H212" s="445"/>
      <c r="I212" s="321"/>
      <c r="J212" s="307" t="str">
        <f>IF(OR($E212&lt;&gt;0,'הגדרות כלליות'!$D$19=1,'הגדרות כלליות'!$D$17=3,'הגדרות כלליות'!$G$24='בדיקות הצלבה'!$L$3),$B$3,"")</f>
        <v>תקין</v>
      </c>
      <c r="K212" s="537"/>
      <c r="L212" s="314" t="str">
        <f>IF(OR($E212&lt;&gt;0,'הגדרות כלליות'!$D$19=1,'הגדרות כלליות'!$D$17=3,'הגדרות כלליות'!$G$24='בדיקות הצלבה'!$L$3),"",P212)</f>
        <v/>
      </c>
      <c r="M212" s="557"/>
      <c r="N212" s="282"/>
      <c r="P212" s="42" t="s">
        <v>200</v>
      </c>
    </row>
    <row r="213" spans="1:16" ht="25.5" x14ac:dyDescent="0.2">
      <c r="A213" s="488">
        <v>174</v>
      </c>
      <c r="B213" s="371" t="s">
        <v>118</v>
      </c>
      <c r="C213" s="371" t="s">
        <v>178</v>
      </c>
      <c r="D213" s="316">
        <f t="shared" si="7"/>
        <v>2016</v>
      </c>
      <c r="E213" s="321">
        <f>'גבייה וחייבים'!$M$21</f>
        <v>0</v>
      </c>
      <c r="F213" s="333"/>
      <c r="G213" s="334"/>
      <c r="H213" s="445"/>
      <c r="I213" s="321"/>
      <c r="J213" s="307" t="str">
        <f>IF(OR($E213&lt;&gt;0,'הגדרות כלליות'!$D$19=1,'הגדרות כלליות'!$D$17=3,'הגדרות כלליות'!$G$24='בדיקות הצלבה'!$L$3),$B$3,"")</f>
        <v/>
      </c>
      <c r="K213" s="537"/>
      <c r="L213" s="314" t="str">
        <f>IF(OR($E213&lt;&gt;0,'הגדרות כלליות'!$D$19=1,'הגדרות כלליות'!$D$17=3,'הגדרות כלליות'!$G$24='בדיקות הצלבה'!$L$3),"",P213)</f>
        <v>חסרים נתוני הנחות, פטורים, זיכויים ומחיקת חובות שוטף - מים שנה נוכחית</v>
      </c>
      <c r="M213" s="557"/>
      <c r="N213" s="282"/>
      <c r="P213" s="42" t="s">
        <v>179</v>
      </c>
    </row>
    <row r="214" spans="1:16" ht="27" customHeight="1" x14ac:dyDescent="0.2">
      <c r="A214" s="488">
        <v>175</v>
      </c>
      <c r="B214" s="371" t="s">
        <v>118</v>
      </c>
      <c r="C214" s="371" t="s">
        <v>180</v>
      </c>
      <c r="D214" s="316">
        <f t="shared" si="7"/>
        <v>2016</v>
      </c>
      <c r="E214" s="321">
        <f>'גבייה וחייבים'!$M$24</f>
        <v>0</v>
      </c>
      <c r="F214" s="333"/>
      <c r="G214" s="334"/>
      <c r="H214" s="445"/>
      <c r="I214" s="321"/>
      <c r="J214" s="307" t="str">
        <f>IF(OR($E214&lt;&gt;0,'הגדרות כלליות'!$D$19=1,'הגדרות כלליות'!$D$17=3,'הגדרות כלליות'!$G$24='בדיקות הצלבה'!$L$3),$B$3,"")</f>
        <v/>
      </c>
      <c r="K214" s="537"/>
      <c r="L214" s="314" t="str">
        <f>IF(OR($E214&lt;&gt;0,'הגדרות כלליות'!$D$19=1,'הגדרות כלליות'!$D$17=3,'הגדרות כלליות'!$G$24='בדיקות הצלבה'!$L$3),"",P214)</f>
        <v>חסרים נתוני גבייה מראש לשנה - מים שנה נוכחית</v>
      </c>
      <c r="M214" s="557"/>
      <c r="N214" s="282"/>
      <c r="P214" s="42" t="s">
        <v>190</v>
      </c>
    </row>
    <row r="215" spans="1:16" ht="17.25" customHeight="1" x14ac:dyDescent="0.2">
      <c r="A215" s="488">
        <v>176</v>
      </c>
      <c r="B215" s="371" t="s">
        <v>118</v>
      </c>
      <c r="C215" s="371" t="s">
        <v>191</v>
      </c>
      <c r="D215" s="316">
        <f t="shared" si="7"/>
        <v>2016</v>
      </c>
      <c r="E215" s="321">
        <f>'גבייה וחייבים'!$M$25</f>
        <v>934</v>
      </c>
      <c r="F215" s="333"/>
      <c r="G215" s="334"/>
      <c r="H215" s="445"/>
      <c r="I215" s="321"/>
      <c r="J215" s="307" t="str">
        <f>IF(OR($E215&lt;&gt;0,'הגדרות כלליות'!$D$19=1,'הגדרות כלליות'!$D$17=3,'הגדרות כלליות'!$G$24='בדיקות הצלבה'!$L$3),$B$3,"")</f>
        <v>תקין</v>
      </c>
      <c r="K215" s="537"/>
      <c r="L215" s="314" t="str">
        <f>IF(OR($E215&lt;&gt;0,'הגדרות כלליות'!$D$19=1,'הגדרות כלליות'!$D$17=3,'הגדרות כלליות'!$G$24='בדיקות הצלבה'!$L$3),"",P215)</f>
        <v/>
      </c>
      <c r="M215" s="557"/>
      <c r="N215" s="282"/>
      <c r="P215" s="42" t="s">
        <v>192</v>
      </c>
    </row>
    <row r="216" spans="1:16" x14ac:dyDescent="0.2">
      <c r="A216" s="488"/>
      <c r="B216" s="371"/>
      <c r="C216" s="371"/>
      <c r="D216" s="316"/>
      <c r="E216" s="321"/>
      <c r="F216" s="333"/>
      <c r="G216" s="334"/>
      <c r="H216" s="445"/>
      <c r="I216" s="321"/>
      <c r="J216" s="307"/>
      <c r="K216" s="537"/>
      <c r="L216" s="314"/>
      <c r="M216" s="557"/>
      <c r="N216" s="282"/>
    </row>
    <row r="217" spans="1:16" ht="24" customHeight="1" x14ac:dyDescent="0.2">
      <c r="A217" s="488">
        <v>177</v>
      </c>
      <c r="B217" s="371" t="s">
        <v>118</v>
      </c>
      <c r="C217" s="371" t="s">
        <v>201</v>
      </c>
      <c r="D217" s="316">
        <f t="shared" ref="D217:D222" si="8">$G$3</f>
        <v>2016</v>
      </c>
      <c r="E217" s="321">
        <f>'גבייה וחייבים'!K36</f>
        <v>0</v>
      </c>
      <c r="F217" s="333"/>
      <c r="G217" s="334"/>
      <c r="H217" s="445"/>
      <c r="I217" s="321"/>
      <c r="J217" s="307" t="str">
        <f>IF(OR($E217&lt;&gt;0,'הגדרות כלליות'!$D$17=1,'הגדרות כלליות'!$D$17=3,'הגדרות כלליות'!$G$24='בדיקות הצלבה'!$L$3),$B$3,"")</f>
        <v/>
      </c>
      <c r="K217" s="537"/>
      <c r="L217" s="314" t="str">
        <f>IF(OR($E217&lt;&gt;0,'הגדרות כלליות'!$D$20=1,'הגדרות כלליות'!$D$20=3,'הגדרות כלליות'!$G$24='בדיקות הצלבה'!$L$3),"",P217)</f>
        <v/>
      </c>
      <c r="M217" s="557"/>
      <c r="N217" s="282"/>
      <c r="P217" s="42" t="s">
        <v>202</v>
      </c>
    </row>
    <row r="218" spans="1:16" ht="27" customHeight="1" x14ac:dyDescent="0.2">
      <c r="A218" s="488">
        <v>178</v>
      </c>
      <c r="B218" s="371" t="s">
        <v>118</v>
      </c>
      <c r="C218" s="371" t="s">
        <v>203</v>
      </c>
      <c r="D218" s="316">
        <f t="shared" si="8"/>
        <v>2016</v>
      </c>
      <c r="E218" s="321">
        <f>'גבייה וחייבים'!K37</f>
        <v>0</v>
      </c>
      <c r="F218" s="333"/>
      <c r="G218" s="334"/>
      <c r="H218" s="445"/>
      <c r="I218" s="321"/>
      <c r="J218" s="307" t="str">
        <f>IF(OR($E218&lt;&gt;0,'הגדרות כלליות'!$D$20=1,'הגדרות כלליות'!$D$20=3,'הגדרות כלליות'!$G$24='בדיקות הצלבה'!$L$3),$B$3,"")</f>
        <v>תקין</v>
      </c>
      <c r="K218" s="537"/>
      <c r="L218" s="314" t="str">
        <f>IF(OR($E218&lt;&gt;0,'הגדרות כלליות'!$D$20=1,'הגדרות כלליות'!$D$20=3,'הגדרות כלליות'!$G$24='בדיקות הצלבה'!$L$3),"",P218)</f>
        <v/>
      </c>
      <c r="M218" s="557"/>
      <c r="N218" s="282"/>
      <c r="P218" s="42" t="s">
        <v>202</v>
      </c>
    </row>
    <row r="219" spans="1:16" ht="26.25" customHeight="1" x14ac:dyDescent="0.2">
      <c r="A219" s="488">
        <v>179</v>
      </c>
      <c r="B219" s="371" t="s">
        <v>118</v>
      </c>
      <c r="C219" s="371" t="s">
        <v>204</v>
      </c>
      <c r="D219" s="316">
        <f t="shared" si="8"/>
        <v>2016</v>
      </c>
      <c r="E219" s="321">
        <f>'גבייה וחייבים'!K38</f>
        <v>0</v>
      </c>
      <c r="F219" s="333"/>
      <c r="G219" s="334"/>
      <c r="H219" s="445"/>
      <c r="I219" s="321"/>
      <c r="J219" s="307" t="str">
        <f>IF(OR($E219&lt;&gt;0,'הגדרות כלליות'!$D$20=1,'הגדרות כלליות'!$D$20=3,'הגדרות כלליות'!$G$24='בדיקות הצלבה'!$L$3),$B$3,"")</f>
        <v>תקין</v>
      </c>
      <c r="K219" s="537"/>
      <c r="L219" s="314" t="str">
        <f>IF(OR($E219&lt;&gt;0,'הגדרות כלליות'!$D$20=1,'הגדרות כלליות'!$D$20=3,'הגדרות כלליות'!$G$24='בדיקות הצלבה'!$L$3),"",P219)</f>
        <v/>
      </c>
      <c r="M219" s="557"/>
      <c r="N219" s="282"/>
      <c r="P219" s="42" t="s">
        <v>202</v>
      </c>
    </row>
    <row r="220" spans="1:16" ht="24" customHeight="1" x14ac:dyDescent="0.2">
      <c r="A220" s="488">
        <v>180</v>
      </c>
      <c r="B220" s="371" t="s">
        <v>118</v>
      </c>
      <c r="C220" s="371" t="s">
        <v>205</v>
      </c>
      <c r="D220" s="316">
        <f t="shared" si="8"/>
        <v>2016</v>
      </c>
      <c r="E220" s="321">
        <f>'גבייה וחייבים'!M36</f>
        <v>0</v>
      </c>
      <c r="F220" s="333"/>
      <c r="G220" s="334"/>
      <c r="H220" s="445"/>
      <c r="I220" s="321"/>
      <c r="J220" s="307" t="str">
        <f>IF(OR($E220&lt;&gt;0,'הגדרות כלליות'!$D$20=1,'הגדרות כלליות'!$D$20=3,'הגדרות כלליות'!$G$24='בדיקות הצלבה'!$L$3),$B$3,"")</f>
        <v>תקין</v>
      </c>
      <c r="K220" s="537"/>
      <c r="L220" s="314" t="str">
        <f>IF(OR($E220&lt;&gt;0,'הגדרות כלליות'!$D$20=1,'הגדרות כלליות'!$D$20=3,'הגדרות כלליות'!$G$24='בדיקות הצלבה'!$L$3),"",P220)</f>
        <v/>
      </c>
      <c r="M220" s="557"/>
      <c r="N220" s="282"/>
      <c r="P220" s="42" t="s">
        <v>206</v>
      </c>
    </row>
    <row r="221" spans="1:16" ht="27" customHeight="1" x14ac:dyDescent="0.2">
      <c r="A221" s="488">
        <v>181</v>
      </c>
      <c r="B221" s="371" t="s">
        <v>118</v>
      </c>
      <c r="C221" s="371" t="s">
        <v>207</v>
      </c>
      <c r="D221" s="316">
        <f t="shared" si="8"/>
        <v>2016</v>
      </c>
      <c r="E221" s="321">
        <f>'גבייה וחייבים'!M37</f>
        <v>232</v>
      </c>
      <c r="F221" s="333"/>
      <c r="G221" s="334"/>
      <c r="H221" s="445"/>
      <c r="I221" s="321"/>
      <c r="J221" s="307" t="str">
        <f>IF(OR($E221&lt;&gt;0,'הגדרות כלליות'!$D$20=1,'הגדרות כלליות'!$D$20=3,'הגדרות כלליות'!$G$24='בדיקות הצלבה'!$L$3),$B$3,"")</f>
        <v>תקין</v>
      </c>
      <c r="K221" s="537"/>
      <c r="L221" s="314" t="str">
        <f>IF(OR($E221&lt;&gt;0,'הגדרות כלליות'!$D$20=1,'הגדרות כלליות'!$D$20=3,'הגדרות כלליות'!$G$24='בדיקות הצלבה'!$L$3),"",P221)</f>
        <v/>
      </c>
      <c r="M221" s="557"/>
      <c r="N221" s="282"/>
      <c r="P221" s="42" t="s">
        <v>206</v>
      </c>
    </row>
    <row r="222" spans="1:16" ht="26.25" customHeight="1" x14ac:dyDescent="0.2">
      <c r="A222" s="488">
        <v>182</v>
      </c>
      <c r="B222" s="371" t="s">
        <v>118</v>
      </c>
      <c r="C222" s="371" t="s">
        <v>208</v>
      </c>
      <c r="D222" s="316">
        <f t="shared" si="8"/>
        <v>2016</v>
      </c>
      <c r="E222" s="321">
        <f>'גבייה וחייבים'!M38</f>
        <v>151</v>
      </c>
      <c r="F222" s="333"/>
      <c r="G222" s="334"/>
      <c r="H222" s="445"/>
      <c r="I222" s="321"/>
      <c r="J222" s="307" t="str">
        <f>IF(OR($E222&lt;&gt;0,'הגדרות כלליות'!$D$20=1,'הגדרות כלליות'!$D$20=3,'הגדרות כלליות'!$G$24='בדיקות הצלבה'!$L$3),$B$3,"")</f>
        <v>תקין</v>
      </c>
      <c r="K222" s="537"/>
      <c r="L222" s="314" t="str">
        <f>IF(OR($E222&lt;&gt;0,'הגדרות כלליות'!$D$20=1,'הגדרות כלליות'!$D$20=3,'הגדרות כלליות'!$G$24='בדיקות הצלבה'!$L$3),"",P222)</f>
        <v/>
      </c>
      <c r="M222" s="557"/>
      <c r="N222" s="282"/>
      <c r="P222" s="42" t="s">
        <v>206</v>
      </c>
    </row>
    <row r="223" spans="1:16" ht="24" customHeight="1" x14ac:dyDescent="0.2">
      <c r="A223" s="488">
        <v>183</v>
      </c>
      <c r="B223" s="371" t="s">
        <v>118</v>
      </c>
      <c r="C223" s="371" t="s">
        <v>209</v>
      </c>
      <c r="D223" s="316">
        <f>$F$3</f>
        <v>2017</v>
      </c>
      <c r="E223" s="321">
        <f>'גבייה וחייבים'!I36</f>
        <v>0</v>
      </c>
      <c r="F223" s="333"/>
      <c r="G223" s="334"/>
      <c r="H223" s="445"/>
      <c r="I223" s="321"/>
      <c r="J223" s="307" t="str">
        <f>IF(OR($E223&lt;&gt;0,'הגדרות כלליות'!$D$20=1,'הגדרות כלליות'!$D$20=3,'הגדרות כלליות'!$G$24='בדיקות הצלבה'!$L$3),$B$3,"")</f>
        <v>תקין</v>
      </c>
      <c r="K223" s="537"/>
      <c r="L223" s="314" t="str">
        <f>IF(OR($E223&lt;&gt;0,'הגדרות כלליות'!$D$20=1,'הגדרות כלליות'!$D$20=3,'הגדרות כלליות'!$G$24='בדיקות הצלבה'!$L$3),"",P223)</f>
        <v/>
      </c>
      <c r="M223" s="557"/>
      <c r="N223" s="282"/>
      <c r="P223" s="42" t="s">
        <v>210</v>
      </c>
    </row>
    <row r="224" spans="1:16" ht="27" customHeight="1" x14ac:dyDescent="0.2">
      <c r="A224" s="488">
        <v>184</v>
      </c>
      <c r="B224" s="371" t="s">
        <v>118</v>
      </c>
      <c r="C224" s="371" t="s">
        <v>211</v>
      </c>
      <c r="D224" s="316">
        <f>$F$3</f>
        <v>2017</v>
      </c>
      <c r="E224" s="321">
        <f>'גבייה וחייבים'!I37</f>
        <v>44.68</v>
      </c>
      <c r="F224" s="333"/>
      <c r="G224" s="334"/>
      <c r="H224" s="445"/>
      <c r="I224" s="321"/>
      <c r="J224" s="307" t="str">
        <f>IF(OR($E224&lt;&gt;0,'הגדרות כלליות'!$D$20=1,'הגדרות כלליות'!$D$20=3,'הגדרות כלליות'!$G$24='בדיקות הצלבה'!$L$3),$B$3,"")</f>
        <v>תקין</v>
      </c>
      <c r="K224" s="537"/>
      <c r="L224" s="314" t="str">
        <f>IF(OR($E224&lt;&gt;0,'הגדרות כלליות'!$D$20=1,'הגדרות כלליות'!$D$20=3,'הגדרות כלליות'!$G$24='בדיקות הצלבה'!$L$3),"",P224)</f>
        <v/>
      </c>
      <c r="M224" s="557"/>
      <c r="N224" s="282"/>
      <c r="P224" s="42" t="s">
        <v>210</v>
      </c>
    </row>
    <row r="225" spans="1:16" ht="26.25" customHeight="1" x14ac:dyDescent="0.2">
      <c r="A225" s="488">
        <v>185</v>
      </c>
      <c r="B225" s="371" t="s">
        <v>118</v>
      </c>
      <c r="C225" s="371" t="s">
        <v>212</v>
      </c>
      <c r="D225" s="316">
        <f>$F$3</f>
        <v>2017</v>
      </c>
      <c r="E225" s="321">
        <f>'גבייה וחייבים'!I38</f>
        <v>41.83</v>
      </c>
      <c r="F225" s="333"/>
      <c r="G225" s="334"/>
      <c r="H225" s="445"/>
      <c r="I225" s="321"/>
      <c r="J225" s="307" t="str">
        <f>IF(OR($E225&lt;&gt;0,'הגדרות כלליות'!$D$20=1,'הגדרות כלליות'!$D$20=3,'הגדרות כלליות'!$G$24='בדיקות הצלבה'!$L$3),$B$3,"")</f>
        <v>תקין</v>
      </c>
      <c r="K225" s="537"/>
      <c r="L225" s="314" t="str">
        <f>IF(OR($E225&lt;&gt;0,'הגדרות כלליות'!$D$20=1,'הגדרות כלליות'!$D$20=3,'הגדרות כלליות'!$G$24='בדיקות הצלבה'!$L$3),"",P225)</f>
        <v/>
      </c>
      <c r="M225" s="557"/>
      <c r="N225" s="282"/>
      <c r="P225" s="42" t="s">
        <v>210</v>
      </c>
    </row>
    <row r="226" spans="1:16" ht="15.75" x14ac:dyDescent="0.2">
      <c r="A226" s="359"/>
      <c r="B226" s="620" t="s">
        <v>213</v>
      </c>
      <c r="C226" s="620"/>
      <c r="D226" s="620"/>
      <c r="E226" s="620"/>
      <c r="F226" s="620"/>
      <c r="G226" s="620"/>
      <c r="H226" s="620"/>
      <c r="I226" s="620"/>
      <c r="J226" s="360"/>
      <c r="K226" s="550"/>
      <c r="L226" s="361"/>
      <c r="M226" s="372"/>
      <c r="N226" s="282"/>
    </row>
    <row r="227" spans="1:16" ht="27.75" customHeight="1" x14ac:dyDescent="0.2">
      <c r="A227" s="373">
        <v>186</v>
      </c>
      <c r="B227" s="374" t="s">
        <v>123</v>
      </c>
      <c r="C227" s="374" t="s">
        <v>214</v>
      </c>
      <c r="D227" s="375">
        <f t="shared" ref="D227:D240" si="9">$F$3</f>
        <v>2017</v>
      </c>
      <c r="E227" s="376">
        <f>ארנונה!$E$6</f>
        <v>117.93</v>
      </c>
      <c r="F227" s="377"/>
      <c r="G227" s="378"/>
      <c r="H227" s="454"/>
      <c r="I227" s="376"/>
      <c r="J227" s="364" t="str">
        <f>IF(OR(ארנונה!C6=0,ארנונה!E6&lt;&gt;0),$B$3,"")</f>
        <v>תקין</v>
      </c>
      <c r="K227" s="537"/>
      <c r="L227" s="365" t="str">
        <f>IF(OR(ארנונה!C6=0,ארנונה!E6&lt;&gt;0),"",P227)</f>
        <v/>
      </c>
      <c r="M227" s="556"/>
      <c r="N227" s="282"/>
      <c r="P227" s="42" t="s">
        <v>215</v>
      </c>
    </row>
    <row r="228" spans="1:16" ht="27.75" customHeight="1" x14ac:dyDescent="0.2">
      <c r="A228" s="379">
        <v>187</v>
      </c>
      <c r="B228" s="380" t="s">
        <v>123</v>
      </c>
      <c r="C228" s="380" t="s">
        <v>216</v>
      </c>
      <c r="D228" s="375">
        <f t="shared" si="9"/>
        <v>2017</v>
      </c>
      <c r="E228" s="381">
        <f>ארנונה!$E$7</f>
        <v>377.83</v>
      </c>
      <c r="F228" s="382"/>
      <c r="G228" s="383"/>
      <c r="H228" s="454"/>
      <c r="I228" s="381"/>
      <c r="J228" s="312" t="str">
        <f>IF(OR(ארנונה!$C$7=0,ארנונה!$E$7&lt;&gt;0),$B$3,"")</f>
        <v>תקין</v>
      </c>
      <c r="K228" s="537"/>
      <c r="L228" s="313" t="str">
        <f>IF(OR(ארנונה!$C$7=0,ארנונה!$E$7&lt;&gt;0),"",P228)</f>
        <v/>
      </c>
      <c r="M228" s="557"/>
      <c r="N228" s="282"/>
      <c r="P228" s="42" t="s">
        <v>217</v>
      </c>
    </row>
    <row r="229" spans="1:16" ht="27.75" customHeight="1" x14ac:dyDescent="0.2">
      <c r="A229" s="384">
        <v>188</v>
      </c>
      <c r="B229" s="380" t="s">
        <v>123</v>
      </c>
      <c r="C229" s="380" t="s">
        <v>218</v>
      </c>
      <c r="D229" s="375">
        <f t="shared" si="9"/>
        <v>2017</v>
      </c>
      <c r="E229" s="381">
        <f>ארנונה!$E$8</f>
        <v>1360.76</v>
      </c>
      <c r="F229" s="382"/>
      <c r="G229" s="383"/>
      <c r="H229" s="454"/>
      <c r="I229" s="381"/>
      <c r="J229" s="312" t="str">
        <f>IF(OR(ארנונה!$C$8=0,ארנונה!$E$8&lt;&gt;0),$B$3,"")</f>
        <v>תקין</v>
      </c>
      <c r="K229" s="537"/>
      <c r="L229" s="313" t="str">
        <f>IF(OR(ארנונה!$C$8=0,ארנונה!$E$8&lt;&gt;0),"",P229)</f>
        <v/>
      </c>
      <c r="M229" s="572"/>
      <c r="N229" s="282"/>
      <c r="P229" s="42" t="s">
        <v>219</v>
      </c>
    </row>
    <row r="230" spans="1:16" ht="27.75" customHeight="1" x14ac:dyDescent="0.2">
      <c r="A230" s="379">
        <v>189</v>
      </c>
      <c r="B230" s="380" t="s">
        <v>123</v>
      </c>
      <c r="C230" s="380" t="s">
        <v>220</v>
      </c>
      <c r="D230" s="375">
        <f t="shared" si="9"/>
        <v>2017</v>
      </c>
      <c r="E230" s="381">
        <f>ארנונה!$E$9</f>
        <v>162.83000000000001</v>
      </c>
      <c r="F230" s="382"/>
      <c r="G230" s="383"/>
      <c r="H230" s="454"/>
      <c r="I230" s="381"/>
      <c r="J230" s="312" t="str">
        <f>IF(OR(ארנונה!$C$9=0,ארנונה!$E$9&lt;&gt;0),$B$3,"")</f>
        <v>תקין</v>
      </c>
      <c r="K230" s="537"/>
      <c r="L230" s="313" t="str">
        <f>IF(OR(ארנונה!$C$9=0,ארנונה!$E$9&lt;&gt;0),"",P230)</f>
        <v/>
      </c>
      <c r="M230" s="572"/>
      <c r="N230" s="282"/>
      <c r="P230" s="42" t="s">
        <v>221</v>
      </c>
    </row>
    <row r="231" spans="1:16" ht="27.75" customHeight="1" x14ac:dyDescent="0.2">
      <c r="A231" s="384">
        <v>190</v>
      </c>
      <c r="B231" s="380" t="s">
        <v>123</v>
      </c>
      <c r="C231" s="380" t="s">
        <v>222</v>
      </c>
      <c r="D231" s="375">
        <f t="shared" si="9"/>
        <v>2017</v>
      </c>
      <c r="E231" s="381">
        <f>ארנונה!$E$10</f>
        <v>142.97999999999999</v>
      </c>
      <c r="F231" s="382"/>
      <c r="G231" s="383"/>
      <c r="H231" s="454"/>
      <c r="I231" s="381"/>
      <c r="J231" s="312" t="str">
        <f>IF(OR(ארנונה!$C$10=0,ארנונה!$E$10&lt;&gt;0),$B$3,"")</f>
        <v>תקין</v>
      </c>
      <c r="K231" s="537"/>
      <c r="L231" s="313" t="str">
        <f>IF(OR(ארנונה!$C$10=0,ארנונה!$E$10&lt;&gt;0),"",P231)</f>
        <v/>
      </c>
      <c r="M231" s="572"/>
      <c r="N231" s="282"/>
      <c r="P231" s="42" t="s">
        <v>223</v>
      </c>
    </row>
    <row r="232" spans="1:16" ht="27.75" customHeight="1" x14ac:dyDescent="0.2">
      <c r="A232" s="379">
        <v>191</v>
      </c>
      <c r="B232" s="380" t="s">
        <v>123</v>
      </c>
      <c r="C232" s="380" t="s">
        <v>224</v>
      </c>
      <c r="D232" s="375">
        <f t="shared" si="9"/>
        <v>2017</v>
      </c>
      <c r="E232" s="381">
        <f>ארנונה!$E$11</f>
        <v>219.69</v>
      </c>
      <c r="F232" s="382"/>
      <c r="G232" s="383"/>
      <c r="H232" s="454"/>
      <c r="I232" s="381"/>
      <c r="J232" s="312" t="str">
        <f>IF(OR(ארנונה!$C$11=0,ארנונה!$E$11&lt;&gt;0),$B$3,"")</f>
        <v>תקין</v>
      </c>
      <c r="K232" s="537"/>
      <c r="L232" s="313" t="str">
        <f>IF(OR(ארנונה!$C$11=0,ארנונה!$E$11&lt;&gt;0),"",P232)</f>
        <v/>
      </c>
      <c r="M232" s="572"/>
      <c r="N232" s="282"/>
      <c r="P232" s="42" t="s">
        <v>225</v>
      </c>
    </row>
    <row r="233" spans="1:16" ht="27.75" customHeight="1" x14ac:dyDescent="0.2">
      <c r="A233" s="384">
        <v>192</v>
      </c>
      <c r="B233" s="380" t="s">
        <v>123</v>
      </c>
      <c r="C233" s="380" t="s">
        <v>226</v>
      </c>
      <c r="D233" s="375">
        <f t="shared" si="9"/>
        <v>2017</v>
      </c>
      <c r="E233" s="381">
        <f>ארנונה!$E$12</f>
        <v>660</v>
      </c>
      <c r="F233" s="382"/>
      <c r="G233" s="383"/>
      <c r="H233" s="454"/>
      <c r="I233" s="381"/>
      <c r="J233" s="312" t="str">
        <f>IF(OR(ארנונה!$C$12=0,ארנונה!$E$12&lt;&gt;0),$B$3,"")</f>
        <v>תקין</v>
      </c>
      <c r="K233" s="537"/>
      <c r="L233" s="313" t="str">
        <f>IF(OR(ארנונה!$C$12=0,ארנונה!$E$12&lt;&gt;0),"",P233)</f>
        <v/>
      </c>
      <c r="M233" s="572"/>
      <c r="N233" s="282"/>
      <c r="P233" s="42" t="s">
        <v>227</v>
      </c>
    </row>
    <row r="234" spans="1:16" ht="27.75" customHeight="1" x14ac:dyDescent="0.2">
      <c r="A234" s="379">
        <v>193</v>
      </c>
      <c r="B234" s="380" t="s">
        <v>123</v>
      </c>
      <c r="C234" s="380" t="s">
        <v>228</v>
      </c>
      <c r="D234" s="375">
        <f t="shared" si="9"/>
        <v>2017</v>
      </c>
      <c r="E234" s="381">
        <f>ארנונה!$E$13</f>
        <v>54810</v>
      </c>
      <c r="F234" s="382"/>
      <c r="G234" s="383"/>
      <c r="H234" s="454"/>
      <c r="I234" s="381"/>
      <c r="J234" s="312" t="str">
        <f>IF(OR(ארנונה!$C$13=0,ארנונה!$E$13&lt;&gt;0),$B$3,"")</f>
        <v>תקין</v>
      </c>
      <c r="K234" s="537"/>
      <c r="L234" s="313" t="str">
        <f>IF(OR(ארנונה!$C$13=0,ארנונה!$E$13&lt;&gt;0),"",P234)</f>
        <v/>
      </c>
      <c r="M234" s="572"/>
      <c r="N234" s="282"/>
      <c r="P234" s="42" t="s">
        <v>229</v>
      </c>
    </row>
    <row r="235" spans="1:16" ht="27.75" customHeight="1" x14ac:dyDescent="0.2">
      <c r="A235" s="384">
        <v>194</v>
      </c>
      <c r="B235" s="380" t="s">
        <v>123</v>
      </c>
      <c r="C235" s="380" t="s">
        <v>230</v>
      </c>
      <c r="D235" s="375">
        <f t="shared" si="9"/>
        <v>2017</v>
      </c>
      <c r="E235" s="381">
        <f>ארנונה!$E$14</f>
        <v>0</v>
      </c>
      <c r="F235" s="382"/>
      <c r="G235" s="383"/>
      <c r="H235" s="454"/>
      <c r="I235" s="381"/>
      <c r="J235" s="312" t="str">
        <f>IF(OR(ארנונה!$C$14=0,ארנונה!$E$14&lt;&gt;0),$B$3,"")</f>
        <v>תקין</v>
      </c>
      <c r="K235" s="537"/>
      <c r="L235" s="313" t="str">
        <f>IF(OR(ארנונה!$C$14=0,ארנונה!$E$14&lt;&gt;0),"",P235)</f>
        <v/>
      </c>
      <c r="M235" s="572"/>
      <c r="N235" s="282"/>
      <c r="P235" s="42" t="s">
        <v>231</v>
      </c>
    </row>
    <row r="236" spans="1:16" ht="27.75" customHeight="1" x14ac:dyDescent="0.2">
      <c r="A236" s="379">
        <v>195</v>
      </c>
      <c r="B236" s="380" t="s">
        <v>123</v>
      </c>
      <c r="C236" s="380" t="s">
        <v>232</v>
      </c>
      <c r="D236" s="375">
        <f t="shared" si="9"/>
        <v>2017</v>
      </c>
      <c r="E236" s="381">
        <f>ארנונה!$E$15</f>
        <v>65.87</v>
      </c>
      <c r="F236" s="382"/>
      <c r="G236" s="383"/>
      <c r="H236" s="454"/>
      <c r="I236" s="381"/>
      <c r="J236" s="312" t="str">
        <f>IF(OR(ארנונה!$C$15=0,ארנונה!$E$15&lt;&gt;0),$B$3,"")</f>
        <v>תקין</v>
      </c>
      <c r="K236" s="537"/>
      <c r="L236" s="313" t="str">
        <f>IF(OR(ארנונה!$C$15=0,ארנונה!$E$15&lt;&gt;0),"",P236)</f>
        <v/>
      </c>
      <c r="M236" s="572"/>
      <c r="N236" s="282"/>
      <c r="P236" s="42" t="s">
        <v>233</v>
      </c>
    </row>
    <row r="237" spans="1:16" ht="27.75" customHeight="1" x14ac:dyDescent="0.2">
      <c r="A237" s="384">
        <v>196</v>
      </c>
      <c r="B237" s="380" t="s">
        <v>123</v>
      </c>
      <c r="C237" s="380" t="s">
        <v>234</v>
      </c>
      <c r="D237" s="375">
        <f t="shared" si="9"/>
        <v>2017</v>
      </c>
      <c r="E237" s="381">
        <f>ארנונה!$E$16</f>
        <v>44.93</v>
      </c>
      <c r="F237" s="382"/>
      <c r="G237" s="383"/>
      <c r="H237" s="454"/>
      <c r="I237" s="381"/>
      <c r="J237" s="312" t="str">
        <f>IF(OR(ארנונה!$C$16=0,ארנונה!$E$16&lt;&gt;0),$B$3,"")</f>
        <v>תקין</v>
      </c>
      <c r="K237" s="537"/>
      <c r="L237" s="313" t="str">
        <f>IF(OR(ארנונה!$C$16=0,ארנונה!$E$16&lt;&gt;0),"",P237)</f>
        <v/>
      </c>
      <c r="M237" s="572"/>
      <c r="N237" s="282"/>
      <c r="P237" s="42" t="s">
        <v>235</v>
      </c>
    </row>
    <row r="238" spans="1:16" ht="27.75" customHeight="1" x14ac:dyDescent="0.2">
      <c r="A238" s="379">
        <v>197</v>
      </c>
      <c r="B238" s="380" t="s">
        <v>123</v>
      </c>
      <c r="C238" s="380" t="s">
        <v>236</v>
      </c>
      <c r="D238" s="375">
        <f t="shared" si="9"/>
        <v>2017</v>
      </c>
      <c r="E238" s="381">
        <f>ארנונה!$E$17</f>
        <v>0</v>
      </c>
      <c r="F238" s="382"/>
      <c r="G238" s="383"/>
      <c r="H238" s="454"/>
      <c r="I238" s="381"/>
      <c r="J238" s="312" t="str">
        <f>IF(OR(ארנונה!$C$17=0,ארנונה!$E$17&lt;&gt;0),$B$3,"")</f>
        <v>תקין</v>
      </c>
      <c r="K238" s="537"/>
      <c r="L238" s="313" t="str">
        <f>IF(OR(ארנונה!$C$17=0,ארנונה!$E$17&lt;&gt;0),"",P238)</f>
        <v/>
      </c>
      <c r="M238" s="572"/>
      <c r="N238" s="282"/>
      <c r="P238" s="42" t="s">
        <v>237</v>
      </c>
    </row>
    <row r="239" spans="1:16" ht="27.75" customHeight="1" x14ac:dyDescent="0.2">
      <c r="A239" s="384">
        <v>198</v>
      </c>
      <c r="B239" s="380" t="s">
        <v>123</v>
      </c>
      <c r="C239" s="380" t="s">
        <v>238</v>
      </c>
      <c r="D239" s="375">
        <f t="shared" si="9"/>
        <v>2017</v>
      </c>
      <c r="E239" s="381">
        <f>ארנונה!$E$18</f>
        <v>0</v>
      </c>
      <c r="F239" s="382"/>
      <c r="G239" s="383"/>
      <c r="H239" s="454"/>
      <c r="I239" s="381"/>
      <c r="J239" s="312" t="str">
        <f>IF(OR(ארנונה!$C$18=0,ארנונה!$E$18&lt;&gt;0),$B$3,"")</f>
        <v/>
      </c>
      <c r="K239" s="537"/>
      <c r="L239" s="313" t="str">
        <f>IF(OR(ארנונה!C$18=0,ארנונה!$E$18&lt;&gt;0),"",P239)</f>
        <v>חסרים נתוני תעריף מקסימום לנכסים אחרים</v>
      </c>
      <c r="M239" s="572"/>
      <c r="N239" s="282"/>
      <c r="P239" s="42" t="s">
        <v>239</v>
      </c>
    </row>
    <row r="240" spans="1:16" ht="38.25" customHeight="1" x14ac:dyDescent="0.2">
      <c r="A240" s="379">
        <v>199</v>
      </c>
      <c r="B240" s="380" t="s">
        <v>123</v>
      </c>
      <c r="C240" s="380" t="s">
        <v>240</v>
      </c>
      <c r="D240" s="375">
        <f t="shared" si="9"/>
        <v>2017</v>
      </c>
      <c r="E240" s="381">
        <f>ארנונה!$E$22</f>
        <v>0</v>
      </c>
      <c r="F240" s="382"/>
      <c r="G240" s="383"/>
      <c r="H240" s="454"/>
      <c r="I240" s="381"/>
      <c r="J240" s="312" t="str">
        <f>IF(OR(ארנונה!$C$22=0,ארנונה!$E$22&lt;&gt;0),$B$3,"")</f>
        <v>תקין</v>
      </c>
      <c r="K240" s="537"/>
      <c r="L240" s="313" t="str">
        <f>IF(OR(ארנונה!C$22=0,ארנונה!$E$22&lt;&gt;0),"",P240)</f>
        <v/>
      </c>
      <c r="M240" s="572"/>
      <c r="N240" s="282"/>
      <c r="P240" s="42" t="s">
        <v>241</v>
      </c>
    </row>
    <row r="241" spans="1:16" ht="27.75" customHeight="1" x14ac:dyDescent="0.2">
      <c r="A241" s="379"/>
      <c r="B241" s="380"/>
      <c r="C241" s="380"/>
      <c r="D241" s="375"/>
      <c r="E241" s="381"/>
      <c r="F241" s="382"/>
      <c r="G241" s="383"/>
      <c r="H241" s="454"/>
      <c r="I241" s="381"/>
      <c r="J241" s="312"/>
      <c r="K241" s="537"/>
      <c r="L241" s="313"/>
      <c r="M241" s="572"/>
      <c r="N241" s="282"/>
    </row>
    <row r="242" spans="1:16" ht="27.75" customHeight="1" x14ac:dyDescent="0.2">
      <c r="A242" s="379">
        <v>200</v>
      </c>
      <c r="B242" s="380" t="s">
        <v>123</v>
      </c>
      <c r="C242" s="380" t="s">
        <v>242</v>
      </c>
      <c r="D242" s="375">
        <f t="shared" ref="D242:D255" si="10">$F$3</f>
        <v>2017</v>
      </c>
      <c r="E242" s="381">
        <f>ארנונה!$G$6</f>
        <v>34.03</v>
      </c>
      <c r="F242" s="382"/>
      <c r="G242" s="383"/>
      <c r="H242" s="454"/>
      <c r="I242" s="381"/>
      <c r="J242" s="312" t="str">
        <f>IF(OR(ארנונה!$C$6=0,ארנונה!$G$6&lt;&gt;0),$B$3,"")</f>
        <v>תקין</v>
      </c>
      <c r="K242" s="537"/>
      <c r="L242" s="313" t="str">
        <f>IF(OR(ארנונה!$C$6=0,ארנונה!$G$6&lt;&gt;0),"",P242)</f>
        <v/>
      </c>
      <c r="M242" s="572"/>
      <c r="N242" s="282"/>
      <c r="P242" s="42" t="s">
        <v>243</v>
      </c>
    </row>
    <row r="243" spans="1:16" ht="27.75" customHeight="1" x14ac:dyDescent="0.2">
      <c r="A243" s="379">
        <v>201</v>
      </c>
      <c r="B243" s="380" t="s">
        <v>123</v>
      </c>
      <c r="C243" s="380" t="s">
        <v>244</v>
      </c>
      <c r="D243" s="375">
        <f t="shared" si="10"/>
        <v>2017</v>
      </c>
      <c r="E243" s="381">
        <f>ארנונה!$G$7</f>
        <v>66.819999999999993</v>
      </c>
      <c r="F243" s="382"/>
      <c r="G243" s="383"/>
      <c r="H243" s="454"/>
      <c r="I243" s="381"/>
      <c r="J243" s="312" t="str">
        <f>IF(OR(ארנונה!$C$7=0,ארנונה!$G$7&lt;&gt;0),$B$3,"")</f>
        <v>תקין</v>
      </c>
      <c r="K243" s="537"/>
      <c r="L243" s="313" t="str">
        <f>IF(OR(ארנונה!$C$7=0,ארנונה!$G$7&lt;&gt;0),"",P243)</f>
        <v/>
      </c>
      <c r="M243" s="572"/>
      <c r="N243" s="282"/>
      <c r="P243" s="42" t="s">
        <v>245</v>
      </c>
    </row>
    <row r="244" spans="1:16" ht="27.75" customHeight="1" x14ac:dyDescent="0.2">
      <c r="A244" s="379">
        <v>202</v>
      </c>
      <c r="B244" s="380" t="s">
        <v>123</v>
      </c>
      <c r="C244" s="380" t="s">
        <v>246</v>
      </c>
      <c r="D244" s="375">
        <f t="shared" si="10"/>
        <v>2017</v>
      </c>
      <c r="E244" s="381">
        <f>ארנונה!$G$8</f>
        <v>454.4</v>
      </c>
      <c r="F244" s="382"/>
      <c r="G244" s="383"/>
      <c r="H244" s="454"/>
      <c r="I244" s="381"/>
      <c r="J244" s="312" t="str">
        <f>IF(OR(ארנונה!$C$8=0,ארנונה!$G$8&lt;&gt;0),$B$3,"")</f>
        <v>תקין</v>
      </c>
      <c r="K244" s="537"/>
      <c r="L244" s="313" t="str">
        <f>IF(OR(ארנונה!$C$8=0,ארנונה!$G$8&lt;&gt;0),"",P244)</f>
        <v/>
      </c>
      <c r="M244" s="572"/>
      <c r="N244" s="282"/>
      <c r="P244" s="42" t="s">
        <v>247</v>
      </c>
    </row>
    <row r="245" spans="1:16" ht="27.75" customHeight="1" x14ac:dyDescent="0.2">
      <c r="A245" s="379">
        <v>203</v>
      </c>
      <c r="B245" s="380" t="s">
        <v>123</v>
      </c>
      <c r="C245" s="380" t="s">
        <v>248</v>
      </c>
      <c r="D245" s="375">
        <f t="shared" si="10"/>
        <v>2017</v>
      </c>
      <c r="E245" s="381">
        <f>ארנונה!$G$9</f>
        <v>24.36</v>
      </c>
      <c r="F245" s="382"/>
      <c r="G245" s="383"/>
      <c r="H245" s="454"/>
      <c r="I245" s="381"/>
      <c r="J245" s="312" t="str">
        <f>IF(OR(ארנונה!$C$9=0,ארנונה!$G$9&lt;&gt;0),$B$3,"")</f>
        <v>תקין</v>
      </c>
      <c r="K245" s="537"/>
      <c r="L245" s="313" t="str">
        <f>IF(OR(ארנונה!$C$9=0,ארנונה!$G$9&lt;&gt;0),"",P245)</f>
        <v/>
      </c>
      <c r="M245" s="572"/>
      <c r="N245" s="282"/>
      <c r="P245" s="42" t="s">
        <v>249</v>
      </c>
    </row>
    <row r="246" spans="1:16" ht="27.75" customHeight="1" x14ac:dyDescent="0.2">
      <c r="A246" s="379">
        <v>204</v>
      </c>
      <c r="B246" s="380" t="s">
        <v>123</v>
      </c>
      <c r="C246" s="380" t="s">
        <v>250</v>
      </c>
      <c r="D246" s="375">
        <f t="shared" si="10"/>
        <v>2017</v>
      </c>
      <c r="E246" s="381">
        <f>ארנונה!$G$10</f>
        <v>37.61</v>
      </c>
      <c r="F246" s="382"/>
      <c r="G246" s="383"/>
      <c r="H246" s="454"/>
      <c r="I246" s="381"/>
      <c r="J246" s="312" t="str">
        <f>IF(OR(ארנונה!$C$10=0,ארנונה!$G$10&lt;&gt;0),$B$3,"")</f>
        <v>תקין</v>
      </c>
      <c r="K246" s="537"/>
      <c r="L246" s="313" t="str">
        <f>IF(OR(ארנונה!$C$10=0,ארנונה!$G$10&lt;&gt;0),"",P246)</f>
        <v/>
      </c>
      <c r="M246" s="572"/>
      <c r="N246" s="282"/>
      <c r="P246" s="42" t="s">
        <v>251</v>
      </c>
    </row>
    <row r="247" spans="1:16" ht="27.75" customHeight="1" x14ac:dyDescent="0.2">
      <c r="A247" s="379">
        <v>205</v>
      </c>
      <c r="B247" s="380" t="s">
        <v>123</v>
      </c>
      <c r="C247" s="380" t="s">
        <v>252</v>
      </c>
      <c r="D247" s="375">
        <f t="shared" si="10"/>
        <v>2017</v>
      </c>
      <c r="E247" s="381">
        <f>ארנונה!$G$11</f>
        <v>45.11</v>
      </c>
      <c r="F247" s="382"/>
      <c r="G247" s="383"/>
      <c r="H247" s="454"/>
      <c r="I247" s="381"/>
      <c r="J247" s="312" t="str">
        <f>IF(OR(ארנונה!$C$11=0,ארנונה!$G$11&lt;&gt;0),$B$3,"")</f>
        <v>תקין</v>
      </c>
      <c r="K247" s="537"/>
      <c r="L247" s="313" t="str">
        <f>IF(OR(ארנונה!$C$11=0,ארנונה!$G$11&lt;&gt;0),"",P247)</f>
        <v/>
      </c>
      <c r="M247" s="572"/>
      <c r="N247" s="282"/>
      <c r="P247" s="42" t="s">
        <v>253</v>
      </c>
    </row>
    <row r="248" spans="1:16" ht="27.75" customHeight="1" x14ac:dyDescent="0.2">
      <c r="A248" s="379">
        <v>206</v>
      </c>
      <c r="B248" s="380" t="s">
        <v>123</v>
      </c>
      <c r="C248" s="380" t="s">
        <v>254</v>
      </c>
      <c r="D248" s="375">
        <f t="shared" si="10"/>
        <v>2017</v>
      </c>
      <c r="E248" s="381">
        <f>ארנונה!$G$12</f>
        <v>9.4509999999999987</v>
      </c>
      <c r="F248" s="382"/>
      <c r="G248" s="383"/>
      <c r="H248" s="454"/>
      <c r="I248" s="381"/>
      <c r="J248" s="312" t="str">
        <f>IF(OR(ארנונה!$C$12=0,ארנונה!$G$12&lt;&gt;0),$B$3,"")</f>
        <v>תקין</v>
      </c>
      <c r="K248" s="537"/>
      <c r="L248" s="313" t="str">
        <f>IF(OR(ארנונה!$C$12=0,ארנונה!$G$12&lt;&gt;0),"",P248)</f>
        <v/>
      </c>
      <c r="M248" s="572"/>
      <c r="N248" s="282"/>
      <c r="P248" s="42" t="s">
        <v>255</v>
      </c>
    </row>
    <row r="249" spans="1:16" ht="27.75" customHeight="1" x14ac:dyDescent="0.2">
      <c r="A249" s="379">
        <v>207</v>
      </c>
      <c r="B249" s="380" t="s">
        <v>123</v>
      </c>
      <c r="C249" s="380" t="s">
        <v>256</v>
      </c>
      <c r="D249" s="375">
        <f t="shared" si="10"/>
        <v>2017</v>
      </c>
      <c r="E249" s="381">
        <f>ארנונה!$G$13</f>
        <v>10.758000000000001</v>
      </c>
      <c r="F249" s="382"/>
      <c r="G249" s="383"/>
      <c r="H249" s="454"/>
      <c r="I249" s="381"/>
      <c r="J249" s="312" t="str">
        <f>IF(OR(ארנונה!$C$13=0,ארנונה!$G$13&lt;&gt;0),$B$3,"")</f>
        <v>תקין</v>
      </c>
      <c r="K249" s="537"/>
      <c r="L249" s="313" t="str">
        <f>IF(OR(ארנונה!$C$13=0,ארנונה!$G$13&lt;&gt;0),"",P249)</f>
        <v/>
      </c>
      <c r="M249" s="572"/>
      <c r="N249" s="282"/>
      <c r="P249" s="42" t="s">
        <v>257</v>
      </c>
    </row>
    <row r="250" spans="1:16" ht="27.75" customHeight="1" x14ac:dyDescent="0.2">
      <c r="A250" s="379">
        <v>208</v>
      </c>
      <c r="B250" s="380" t="s">
        <v>123</v>
      </c>
      <c r="C250" s="380" t="s">
        <v>258</v>
      </c>
      <c r="D250" s="375">
        <f t="shared" si="10"/>
        <v>2017</v>
      </c>
      <c r="E250" s="381">
        <f>ארנונה!$G$14</f>
        <v>0</v>
      </c>
      <c r="F250" s="382"/>
      <c r="G250" s="383"/>
      <c r="H250" s="454"/>
      <c r="I250" s="381"/>
      <c r="J250" s="312" t="str">
        <f>IF(OR(ארנונה!$C$14=0,ארנונה!$G$14&lt;&gt;0),$B$3,"")</f>
        <v>תקין</v>
      </c>
      <c r="K250" s="537"/>
      <c r="L250" s="313" t="str">
        <f>IF(OR(ארנונה!$C$14=0,ארנונה!$G$14&lt;&gt;0),"",P250)</f>
        <v/>
      </c>
      <c r="M250" s="572"/>
      <c r="N250" s="282"/>
      <c r="P250" s="42" t="s">
        <v>259</v>
      </c>
    </row>
    <row r="251" spans="1:16" ht="27.75" customHeight="1" x14ac:dyDescent="0.2">
      <c r="A251" s="379">
        <v>209</v>
      </c>
      <c r="B251" s="380" t="s">
        <v>123</v>
      </c>
      <c r="C251" s="380" t="s">
        <v>260</v>
      </c>
      <c r="D251" s="375">
        <f t="shared" si="10"/>
        <v>2017</v>
      </c>
      <c r="E251" s="381">
        <f>ארנונה!$G$15</f>
        <v>1.39</v>
      </c>
      <c r="F251" s="382"/>
      <c r="G251" s="383"/>
      <c r="H251" s="454"/>
      <c r="I251" s="381"/>
      <c r="J251" s="312" t="str">
        <f>IF(OR(ארנונה!$C$15=0,ארנונה!$G$15&lt;&gt;0),$B$3,"")</f>
        <v>תקין</v>
      </c>
      <c r="K251" s="537"/>
      <c r="L251" s="313" t="str">
        <f>IF(OR(ארנונה!$C$15=0,ארנונה!$G$15&lt;&gt;0),"",P251)</f>
        <v/>
      </c>
      <c r="M251" s="572"/>
      <c r="N251" s="282"/>
      <c r="P251" s="42" t="s">
        <v>261</v>
      </c>
    </row>
    <row r="252" spans="1:16" ht="27.75" customHeight="1" x14ac:dyDescent="0.2">
      <c r="A252" s="379">
        <v>210</v>
      </c>
      <c r="B252" s="380" t="s">
        <v>123</v>
      </c>
      <c r="C252" s="380" t="s">
        <v>262</v>
      </c>
      <c r="D252" s="375">
        <f t="shared" si="10"/>
        <v>2017</v>
      </c>
      <c r="E252" s="381">
        <f>ארנונה!$G$16</f>
        <v>0.34300000000000003</v>
      </c>
      <c r="F252" s="382"/>
      <c r="G252" s="383"/>
      <c r="H252" s="454"/>
      <c r="I252" s="381"/>
      <c r="J252" s="312" t="str">
        <f>IF(OR(ארנונה!$C$16=0,ארנונה!$G$16&lt;&gt;0),$B$3,"")</f>
        <v>תקין</v>
      </c>
      <c r="K252" s="537"/>
      <c r="L252" s="313" t="str">
        <f>IF(OR(ארנונה!$C$16=0,ארנונה!$G$16&lt;&gt;0),"",P252)</f>
        <v/>
      </c>
      <c r="M252" s="572"/>
      <c r="N252" s="282"/>
      <c r="P252" s="42" t="s">
        <v>263</v>
      </c>
    </row>
    <row r="253" spans="1:16" ht="27.75" customHeight="1" x14ac:dyDescent="0.2">
      <c r="A253" s="379">
        <v>211</v>
      </c>
      <c r="B253" s="380" t="s">
        <v>123</v>
      </c>
      <c r="C253" s="380" t="s">
        <v>264</v>
      </c>
      <c r="D253" s="375">
        <f t="shared" si="10"/>
        <v>2017</v>
      </c>
      <c r="E253" s="381">
        <f>ארנונה!$G$17</f>
        <v>0</v>
      </c>
      <c r="F253" s="382"/>
      <c r="G253" s="383"/>
      <c r="H253" s="454"/>
      <c r="I253" s="381"/>
      <c r="J253" s="312" t="str">
        <f>IF(OR(ארנונה!$C$17=0,ארנונה!$G$17&lt;&gt;0),$B$3,"")</f>
        <v>תקין</v>
      </c>
      <c r="K253" s="537"/>
      <c r="L253" s="313" t="str">
        <f>IF(OR(ארנונה!$C$17=0,ארנונה!$G$17&lt;&gt;0),"",P253)</f>
        <v/>
      </c>
      <c r="M253" s="572"/>
      <c r="N253" s="282"/>
      <c r="P253" s="42" t="s">
        <v>265</v>
      </c>
    </row>
    <row r="254" spans="1:16" ht="27.75" customHeight="1" x14ac:dyDescent="0.2">
      <c r="A254" s="379">
        <v>212</v>
      </c>
      <c r="B254" s="380" t="s">
        <v>123</v>
      </c>
      <c r="C254" s="380" t="s">
        <v>266</v>
      </c>
      <c r="D254" s="375">
        <f t="shared" si="10"/>
        <v>2017</v>
      </c>
      <c r="E254" s="381">
        <f>ארנונה!$G$18</f>
        <v>0</v>
      </c>
      <c r="F254" s="382"/>
      <c r="G254" s="383"/>
      <c r="H254" s="454"/>
      <c r="I254" s="381"/>
      <c r="J254" s="312" t="str">
        <f>IF(OR(ארנונה!$C$18=0,ארנונה!$G$18&lt;&gt;0),$B$3,"")</f>
        <v/>
      </c>
      <c r="K254" s="537"/>
      <c r="L254" s="313" t="str">
        <f>IF(OR(ארנונה!C$18=0,ארנונה!$G$18&lt;&gt;0),"",P254)</f>
        <v>חסרים נתוני תעריף מינימום לנכסים אחרים</v>
      </c>
      <c r="M254" s="572"/>
      <c r="N254" s="282"/>
      <c r="P254" s="42" t="s">
        <v>267</v>
      </c>
    </row>
    <row r="255" spans="1:16" ht="38.25" customHeight="1" x14ac:dyDescent="0.2">
      <c r="A255" s="379">
        <v>213</v>
      </c>
      <c r="B255" s="380" t="s">
        <v>123</v>
      </c>
      <c r="C255" s="380" t="s">
        <v>268</v>
      </c>
      <c r="D255" s="375">
        <f t="shared" si="10"/>
        <v>2017</v>
      </c>
      <c r="E255" s="381">
        <f>ארנונה!$G$22</f>
        <v>0</v>
      </c>
      <c r="F255" s="382"/>
      <c r="G255" s="383"/>
      <c r="H255" s="454"/>
      <c r="I255" s="381"/>
      <c r="J255" s="312" t="str">
        <f>IF(OR(ארנונה!$C$22=0,ארנונה!$G$22&lt;&gt;0),$B$3,"")</f>
        <v>תקין</v>
      </c>
      <c r="K255" s="537"/>
      <c r="L255" s="313" t="str">
        <f>IF(OR(ארנונה!C$22=0,ארנונה!$G$22&lt;&gt;0),"",P255)</f>
        <v/>
      </c>
      <c r="M255" s="572"/>
      <c r="N255" s="282"/>
      <c r="P255" s="42" t="s">
        <v>269</v>
      </c>
    </row>
    <row r="256" spans="1:16" ht="27.75" customHeight="1" x14ac:dyDescent="0.2">
      <c r="A256" s="379"/>
      <c r="B256" s="380"/>
      <c r="C256" s="380"/>
      <c r="D256" s="375"/>
      <c r="E256" s="381"/>
      <c r="F256" s="382"/>
      <c r="G256" s="383"/>
      <c r="H256" s="454"/>
      <c r="I256" s="381"/>
      <c r="J256" s="312"/>
      <c r="K256" s="537"/>
      <c r="L256" s="313"/>
      <c r="M256" s="572"/>
      <c r="N256" s="282"/>
    </row>
    <row r="257" spans="1:16" ht="27.75" customHeight="1" x14ac:dyDescent="0.2">
      <c r="A257" s="379">
        <v>214</v>
      </c>
      <c r="B257" s="380" t="s">
        <v>123</v>
      </c>
      <c r="C257" s="380" t="s">
        <v>270</v>
      </c>
      <c r="D257" s="375">
        <f t="shared" ref="D257:D270" si="11">$G$3</f>
        <v>2016</v>
      </c>
      <c r="E257" s="381">
        <f>ארנונה!$K$6</f>
        <v>33</v>
      </c>
      <c r="F257" s="382"/>
      <c r="G257" s="383"/>
      <c r="H257" s="454"/>
      <c r="I257" s="381"/>
      <c r="J257" s="312" t="str">
        <f>IF(OR(ארנונה!$C$6=0,ארנונה!$K$6&lt;&gt;0),$B$3,"")</f>
        <v>תקין</v>
      </c>
      <c r="K257" s="537"/>
      <c r="L257" s="313" t="str">
        <f>IF(OR(ארנונה!$C$6=0,ארנונה!$K$6&lt;&gt;0),"",P257)</f>
        <v/>
      </c>
      <c r="M257" s="572"/>
      <c r="N257" s="282"/>
      <c r="P257" s="42" t="s">
        <v>271</v>
      </c>
    </row>
    <row r="258" spans="1:16" ht="27.75" customHeight="1" x14ac:dyDescent="0.2">
      <c r="A258" s="379">
        <v>215</v>
      </c>
      <c r="B258" s="380" t="s">
        <v>123</v>
      </c>
      <c r="C258" s="380" t="s">
        <v>272</v>
      </c>
      <c r="D258" s="375">
        <f t="shared" si="11"/>
        <v>2016</v>
      </c>
      <c r="E258" s="381">
        <f>ארנונה!$K$7</f>
        <v>73</v>
      </c>
      <c r="F258" s="382"/>
      <c r="G258" s="383"/>
      <c r="H258" s="454"/>
      <c r="I258" s="381"/>
      <c r="J258" s="312" t="str">
        <f>IF(OR(ארנונה!$C$7=0,ארנונה!$K$7&lt;&gt;0),$B$3,"")</f>
        <v>תקין</v>
      </c>
      <c r="K258" s="537"/>
      <c r="L258" s="313" t="str">
        <f>IF(OR(ארנונה!$C$7=0,ארנונה!$K$7&lt;&gt;0),"",P258)</f>
        <v/>
      </c>
      <c r="M258" s="572"/>
      <c r="N258" s="282"/>
      <c r="P258" s="42" t="s">
        <v>273</v>
      </c>
    </row>
    <row r="259" spans="1:16" ht="27.75" customHeight="1" x14ac:dyDescent="0.2">
      <c r="A259" s="379">
        <v>216</v>
      </c>
      <c r="B259" s="380" t="s">
        <v>123</v>
      </c>
      <c r="C259" s="380" t="s">
        <v>274</v>
      </c>
      <c r="D259" s="375">
        <f t="shared" si="11"/>
        <v>2016</v>
      </c>
      <c r="E259" s="381">
        <f>ארנונה!$K$8</f>
        <v>0</v>
      </c>
      <c r="F259" s="382"/>
      <c r="G259" s="383"/>
      <c r="H259" s="454"/>
      <c r="I259" s="381"/>
      <c r="J259" s="312" t="str">
        <f>IF(OR(ארנונה!$C$8=0,ארנונה!$K$8&lt;&gt;0),$B$3,"")</f>
        <v/>
      </c>
      <c r="K259" s="537"/>
      <c r="L259" s="313" t="str">
        <f>IF(OR(ארנונה!$C$8=0,ארנונה!$K$8&lt;&gt;0),"",P259)</f>
        <v>חסרים נתוני תעריף משוקלל שנה קודמת לבנקים</v>
      </c>
      <c r="M259" s="572"/>
      <c r="N259" s="282"/>
      <c r="P259" s="42" t="s">
        <v>275</v>
      </c>
    </row>
    <row r="260" spans="1:16" ht="27.75" customHeight="1" x14ac:dyDescent="0.2">
      <c r="A260" s="379">
        <v>217</v>
      </c>
      <c r="B260" s="380" t="s">
        <v>123</v>
      </c>
      <c r="C260" s="380" t="s">
        <v>276</v>
      </c>
      <c r="D260" s="375">
        <f t="shared" si="11"/>
        <v>2016</v>
      </c>
      <c r="E260" s="381">
        <f>ארנונה!$K$9</f>
        <v>39</v>
      </c>
      <c r="F260" s="382"/>
      <c r="G260" s="383"/>
      <c r="H260" s="454"/>
      <c r="I260" s="381"/>
      <c r="J260" s="312" t="str">
        <f>IF(OR(ארנונה!$C$9=0,ארנונה!$K$9&lt;&gt;0),$B$3,"")</f>
        <v>תקין</v>
      </c>
      <c r="K260" s="537"/>
      <c r="L260" s="313" t="str">
        <f>IF(OR(ארנונה!$C$9=0,ארנונה!$K$9&lt;&gt;0),"",P260)</f>
        <v/>
      </c>
      <c r="M260" s="572"/>
      <c r="N260" s="282"/>
      <c r="P260" s="42" t="s">
        <v>277</v>
      </c>
    </row>
    <row r="261" spans="1:16" ht="27.75" customHeight="1" x14ac:dyDescent="0.2">
      <c r="A261" s="379">
        <v>218</v>
      </c>
      <c r="B261" s="380" t="s">
        <v>123</v>
      </c>
      <c r="C261" s="380" t="s">
        <v>278</v>
      </c>
      <c r="D261" s="375">
        <f t="shared" si="11"/>
        <v>2016</v>
      </c>
      <c r="E261" s="381">
        <f>ארנונה!$K$10</f>
        <v>62</v>
      </c>
      <c r="F261" s="382"/>
      <c r="G261" s="383"/>
      <c r="H261" s="454"/>
      <c r="I261" s="381"/>
      <c r="J261" s="312" t="str">
        <f>IF(OR(ארנונה!$C$10=0,ארנונה!$K$10&lt;&gt;0),$B$3,"")</f>
        <v>תקין</v>
      </c>
      <c r="K261" s="537"/>
      <c r="L261" s="313" t="str">
        <f>IF(OR(ארנונה!$C$10=0,ארנונה!$K$10&lt;&gt;0),"",P261)</f>
        <v/>
      </c>
      <c r="M261" s="572"/>
      <c r="N261" s="282"/>
      <c r="P261" s="42" t="s">
        <v>279</v>
      </c>
    </row>
    <row r="262" spans="1:16" ht="27.75" customHeight="1" x14ac:dyDescent="0.2">
      <c r="A262" s="379">
        <v>219</v>
      </c>
      <c r="B262" s="380" t="s">
        <v>123</v>
      </c>
      <c r="C262" s="380" t="s">
        <v>280</v>
      </c>
      <c r="D262" s="375">
        <f t="shared" si="11"/>
        <v>2016</v>
      </c>
      <c r="E262" s="381">
        <f>ארנונה!$K$11</f>
        <v>56</v>
      </c>
      <c r="F262" s="382"/>
      <c r="G262" s="383"/>
      <c r="H262" s="454"/>
      <c r="I262" s="381"/>
      <c r="J262" s="312" t="str">
        <f>IF(OR(ארנונה!$C$11=0,ארנונה!$K$11&lt;&gt;0),$B$3,"")</f>
        <v>תקין</v>
      </c>
      <c r="K262" s="537"/>
      <c r="L262" s="313" t="str">
        <f>IF(OR(ארנונה!$C$11=0,ארנונה!$K$11&lt;&gt;0),"",P262)</f>
        <v/>
      </c>
      <c r="M262" s="572"/>
      <c r="N262" s="282"/>
      <c r="P262" s="42" t="s">
        <v>281</v>
      </c>
    </row>
    <row r="263" spans="1:16" ht="38.25" customHeight="1" x14ac:dyDescent="0.2">
      <c r="A263" s="379">
        <v>220</v>
      </c>
      <c r="B263" s="385" t="s">
        <v>123</v>
      </c>
      <c r="C263" s="385" t="s">
        <v>282</v>
      </c>
      <c r="D263" s="375">
        <f t="shared" si="11"/>
        <v>2016</v>
      </c>
      <c r="E263" s="386">
        <f>ארנונה!$K$12</f>
        <v>43</v>
      </c>
      <c r="F263" s="387"/>
      <c r="G263" s="388"/>
      <c r="H263" s="454"/>
      <c r="I263" s="386"/>
      <c r="J263" s="307" t="str">
        <f>IF(OR(ארנונה!$C$12=0,ארנונה!$K$12&lt;&gt;0),$B$3,"")</f>
        <v>תקין</v>
      </c>
      <c r="K263" s="537"/>
      <c r="L263" s="314" t="str">
        <f>IF(OR(ארנונה!$C$12=0,ארנונה!$K$12&lt;&gt;0),"",P263)</f>
        <v/>
      </c>
      <c r="M263" s="557"/>
      <c r="N263" s="306"/>
      <c r="P263" s="42" t="s">
        <v>283</v>
      </c>
    </row>
    <row r="264" spans="1:16" ht="25.5" x14ac:dyDescent="0.2">
      <c r="A264" s="379">
        <v>221</v>
      </c>
      <c r="B264" s="385" t="s">
        <v>123</v>
      </c>
      <c r="C264" s="385" t="s">
        <v>284</v>
      </c>
      <c r="D264" s="375">
        <f t="shared" si="11"/>
        <v>2016</v>
      </c>
      <c r="E264" s="386">
        <f>ארנונה!$K$13</f>
        <v>1959</v>
      </c>
      <c r="F264" s="387"/>
      <c r="G264" s="388"/>
      <c r="H264" s="454"/>
      <c r="I264" s="386"/>
      <c r="J264" s="307" t="str">
        <f>IF(OR(ארנונה!$C$13=0,ארנונה!$K$13&lt;&gt;0),$B$3,"")</f>
        <v>תקין</v>
      </c>
      <c r="K264" s="537"/>
      <c r="L264" s="314" t="str">
        <f>IF(OR(ארנונה!$C$13=0,ארנונה!$K$13&lt;&gt;0),"",P264)</f>
        <v/>
      </c>
      <c r="M264" s="557"/>
      <c r="N264" s="306"/>
      <c r="P264" s="42" t="s">
        <v>285</v>
      </c>
    </row>
    <row r="265" spans="1:16" ht="28.5" customHeight="1" x14ac:dyDescent="0.2">
      <c r="A265" s="379">
        <v>222</v>
      </c>
      <c r="B265" s="385" t="s">
        <v>123</v>
      </c>
      <c r="C265" s="385" t="s">
        <v>286</v>
      </c>
      <c r="D265" s="375">
        <f t="shared" si="11"/>
        <v>2016</v>
      </c>
      <c r="E265" s="386">
        <f>ארנונה!$K$14</f>
        <v>0</v>
      </c>
      <c r="F265" s="387"/>
      <c r="G265" s="388"/>
      <c r="H265" s="454"/>
      <c r="I265" s="386"/>
      <c r="J265" s="307" t="str">
        <f>IF(OR(ארנונה!$C$14=0,ארנונה!$K$14&lt;&gt;0),$B$3,"")</f>
        <v>תקין</v>
      </c>
      <c r="K265" s="537"/>
      <c r="L265" s="314" t="str">
        <f>IF(OR(ארנונה!$C$14=0,ארנונה!$K$14&lt;&gt;0),"",P265)</f>
        <v/>
      </c>
      <c r="M265" s="557"/>
      <c r="N265" s="282"/>
      <c r="P265" s="42" t="s">
        <v>287</v>
      </c>
    </row>
    <row r="266" spans="1:16" ht="39" customHeight="1" x14ac:dyDescent="0.2">
      <c r="A266" s="379">
        <v>223</v>
      </c>
      <c r="B266" s="385" t="s">
        <v>123</v>
      </c>
      <c r="C266" s="385" t="s">
        <v>288</v>
      </c>
      <c r="D266" s="375">
        <f t="shared" si="11"/>
        <v>2016</v>
      </c>
      <c r="E266" s="386">
        <f>ארנונה!$K$15</f>
        <v>1</v>
      </c>
      <c r="F266" s="387"/>
      <c r="G266" s="388"/>
      <c r="H266" s="454"/>
      <c r="I266" s="386"/>
      <c r="J266" s="307" t="str">
        <f>IF(OR(ארנונה!$C$15=0,ארנונה!$K$15&lt;&gt;0),$B$3,"")</f>
        <v>תקין</v>
      </c>
      <c r="K266" s="537"/>
      <c r="L266" s="314" t="str">
        <f>IF(OR(ארנונה!$C$15=0,ארנונה!$K$15&lt;&gt;0),"",P266)</f>
        <v/>
      </c>
      <c r="M266" s="557"/>
      <c r="N266" s="282"/>
      <c r="P266" s="42" t="s">
        <v>289</v>
      </c>
    </row>
    <row r="267" spans="1:16" ht="30.75" customHeight="1" x14ac:dyDescent="0.2">
      <c r="A267" s="379">
        <v>224</v>
      </c>
      <c r="B267" s="385" t="s">
        <v>123</v>
      </c>
      <c r="C267" s="385" t="s">
        <v>290</v>
      </c>
      <c r="D267" s="375">
        <f t="shared" si="11"/>
        <v>2016</v>
      </c>
      <c r="E267" s="386">
        <f>ארנונה!$K$16</f>
        <v>0.32</v>
      </c>
      <c r="F267" s="387"/>
      <c r="G267" s="388"/>
      <c r="H267" s="454"/>
      <c r="I267" s="386"/>
      <c r="J267" s="307" t="str">
        <f>IF(OR(ארנונה!$C$16=0,ארנונה!$K$16&lt;&gt;0),$B$3,"")</f>
        <v>תקין</v>
      </c>
      <c r="K267" s="537"/>
      <c r="L267" s="314" t="str">
        <f>IF(OR(ארנונה!$C$16=0,ארנונה!$K$16&lt;&gt;0),"",P267)</f>
        <v/>
      </c>
      <c r="M267" s="557"/>
      <c r="N267" s="282"/>
      <c r="P267" s="42" t="s">
        <v>291</v>
      </c>
    </row>
    <row r="268" spans="1:16" ht="25.5" x14ac:dyDescent="0.2">
      <c r="A268" s="379">
        <v>225</v>
      </c>
      <c r="B268" s="389" t="s">
        <v>123</v>
      </c>
      <c r="C268" s="389" t="s">
        <v>292</v>
      </c>
      <c r="D268" s="390">
        <f t="shared" si="11"/>
        <v>2016</v>
      </c>
      <c r="E268" s="391">
        <f>ארנונה!$K$17</f>
        <v>0</v>
      </c>
      <c r="F268" s="392"/>
      <c r="G268" s="393"/>
      <c r="H268" s="455"/>
      <c r="I268" s="391"/>
      <c r="J268" s="338" t="str">
        <f>IF(OR(ארנונה!$C$17=0,ארנונה!$K$17&lt;&gt;0),$B$3,"")</f>
        <v>תקין</v>
      </c>
      <c r="K268" s="546"/>
      <c r="L268" s="340" t="str">
        <f>IF(OR(ארנונה!$C$17=0,ארנונה!$K$17&lt;&gt;0),"",P268)</f>
        <v/>
      </c>
      <c r="M268" s="558"/>
      <c r="N268" s="282"/>
      <c r="P268" s="42" t="s">
        <v>293</v>
      </c>
    </row>
    <row r="269" spans="1:16" ht="25.5" x14ac:dyDescent="0.2">
      <c r="A269" s="379">
        <v>226</v>
      </c>
      <c r="B269" s="389" t="s">
        <v>123</v>
      </c>
      <c r="C269" s="389" t="s">
        <v>294</v>
      </c>
      <c r="D269" s="390">
        <f t="shared" si="11"/>
        <v>2016</v>
      </c>
      <c r="E269" s="391">
        <f>ארנונה!$K$18</f>
        <v>14</v>
      </c>
      <c r="F269" s="392"/>
      <c r="G269" s="393"/>
      <c r="H269" s="455"/>
      <c r="I269" s="391"/>
      <c r="J269" s="338" t="str">
        <f>IF(OR(ארנונה!$C$18=0,ארנונה!$K$18&lt;&gt;0),$B$3,"")</f>
        <v>תקין</v>
      </c>
      <c r="K269" s="546"/>
      <c r="L269" s="340" t="str">
        <f>IF(OR(ארנונה!C$18=0,ארנונה!$K$18&lt;&gt;0),"",P269)</f>
        <v/>
      </c>
      <c r="M269" s="558"/>
      <c r="N269" s="282"/>
      <c r="P269" s="42" t="s">
        <v>295</v>
      </c>
    </row>
    <row r="270" spans="1:16" ht="38.25" x14ac:dyDescent="0.2">
      <c r="A270" s="379">
        <v>227</v>
      </c>
      <c r="B270" s="389" t="s">
        <v>123</v>
      </c>
      <c r="C270" s="389" t="s">
        <v>296</v>
      </c>
      <c r="D270" s="390">
        <f t="shared" si="11"/>
        <v>2016</v>
      </c>
      <c r="E270" s="391">
        <f>ארנונה!$K$22</f>
        <v>0</v>
      </c>
      <c r="F270" s="392"/>
      <c r="G270" s="393"/>
      <c r="H270" s="455"/>
      <c r="I270" s="391"/>
      <c r="J270" s="338" t="str">
        <f>IF(OR(ארנונה!$C$22=0,ארנונה!$K$22&lt;&gt;0),$B$3,"")</f>
        <v>תקין</v>
      </c>
      <c r="K270" s="546"/>
      <c r="L270" s="340" t="str">
        <f>IF(OR(ארנונה!C$22=0,ארנונה!$K$22&lt;&gt;0),"",P270)</f>
        <v/>
      </c>
      <c r="M270" s="558"/>
      <c r="N270" s="282"/>
      <c r="P270" s="42" t="s">
        <v>297</v>
      </c>
    </row>
    <row r="271" spans="1:16" x14ac:dyDescent="0.2">
      <c r="A271" s="394"/>
      <c r="B271" s="389"/>
      <c r="C271" s="389"/>
      <c r="D271" s="390"/>
      <c r="E271" s="391"/>
      <c r="F271" s="392"/>
      <c r="G271" s="393"/>
      <c r="H271" s="455"/>
      <c r="I271" s="391"/>
      <c r="J271" s="338"/>
      <c r="K271" s="546"/>
      <c r="L271" s="340"/>
      <c r="M271" s="558"/>
      <c r="N271" s="282"/>
    </row>
    <row r="272" spans="1:16" x14ac:dyDescent="0.2">
      <c r="A272" s="394">
        <v>228</v>
      </c>
      <c r="B272" s="389" t="s">
        <v>123</v>
      </c>
      <c r="C272" s="389" t="s">
        <v>298</v>
      </c>
      <c r="D272" s="390">
        <f t="shared" ref="D272:D285" si="12">$F$3</f>
        <v>2017</v>
      </c>
      <c r="E272" s="391">
        <f>ארנונה!$O$6</f>
        <v>22392</v>
      </c>
      <c r="F272" s="392"/>
      <c r="G272" s="393"/>
      <c r="H272" s="455"/>
      <c r="I272" s="391"/>
      <c r="J272" s="338" t="str">
        <f>IF(OR(ארנונה!$C$6=0,ארנונה!$O$6&lt;&gt;0),$B$3,"")</f>
        <v>תקין</v>
      </c>
      <c r="K272" s="546"/>
      <c r="L272" s="340" t="str">
        <f>IF(OR(ארנונה!$C$6=0,ארנונה!$O$6&lt;&gt;0),"",P272)</f>
        <v/>
      </c>
      <c r="M272" s="558"/>
      <c r="N272" s="282"/>
      <c r="P272" s="42" t="s">
        <v>299</v>
      </c>
    </row>
    <row r="273" spans="1:16" x14ac:dyDescent="0.2">
      <c r="A273" s="394">
        <v>229</v>
      </c>
      <c r="B273" s="389" t="s">
        <v>123</v>
      </c>
      <c r="C273" s="389" t="s">
        <v>300</v>
      </c>
      <c r="D273" s="390">
        <f t="shared" si="12"/>
        <v>2017</v>
      </c>
      <c r="E273" s="391">
        <f>ארנונה!$O$7</f>
        <v>11578</v>
      </c>
      <c r="F273" s="392"/>
      <c r="G273" s="393"/>
      <c r="H273" s="455"/>
      <c r="I273" s="391"/>
      <c r="J273" s="338" t="str">
        <f>IF(OR(ארנונה!$C$7=0,ארנונה!$O$7&lt;&gt;0),$B$3,"")</f>
        <v>תקין</v>
      </c>
      <c r="K273" s="546"/>
      <c r="L273" s="340" t="str">
        <f>IF(OR(ארנונה!$C$7=0,ארנונה!$O$7&lt;&gt;0),"",P273)</f>
        <v/>
      </c>
      <c r="M273" s="558"/>
      <c r="N273" s="282"/>
      <c r="P273" s="42" t="s">
        <v>301</v>
      </c>
    </row>
    <row r="274" spans="1:16" x14ac:dyDescent="0.2">
      <c r="A274" s="394">
        <v>230</v>
      </c>
      <c r="B274" s="389" t="s">
        <v>123</v>
      </c>
      <c r="C274" s="389" t="s">
        <v>302</v>
      </c>
      <c r="D274" s="390">
        <f t="shared" si="12"/>
        <v>2017</v>
      </c>
      <c r="E274" s="391">
        <f>ארנונה!$O$8</f>
        <v>42</v>
      </c>
      <c r="F274" s="392"/>
      <c r="G274" s="393"/>
      <c r="H274" s="455"/>
      <c r="I274" s="391"/>
      <c r="J274" s="338" t="str">
        <f>IF(OR(ארנונה!$C$8=0,ארנונה!$O$8&lt;&gt;0),$B$3,"")</f>
        <v>תקין</v>
      </c>
      <c r="K274" s="546"/>
      <c r="L274" s="340" t="str">
        <f>IF(OR(ארנונה!$C$8=0,ארנונה!$O$8&lt;&gt;0),"",P274)</f>
        <v/>
      </c>
      <c r="M274" s="558"/>
      <c r="N274" s="282"/>
      <c r="P274" s="42" t="s">
        <v>303</v>
      </c>
    </row>
    <row r="275" spans="1:16" x14ac:dyDescent="0.2">
      <c r="A275" s="394">
        <v>231</v>
      </c>
      <c r="B275" s="389" t="s">
        <v>123</v>
      </c>
      <c r="C275" s="389" t="s">
        <v>304</v>
      </c>
      <c r="D275" s="390">
        <f t="shared" si="12"/>
        <v>2017</v>
      </c>
      <c r="E275" s="391">
        <f>ארנונה!$O$9</f>
        <v>6679</v>
      </c>
      <c r="F275" s="392"/>
      <c r="G275" s="393"/>
      <c r="H275" s="455"/>
      <c r="I275" s="391"/>
      <c r="J275" s="338" t="str">
        <f>IF(OR(ארנונה!$C$9=0,ארנונה!$O$9&lt;&gt;0),$B$3,"")</f>
        <v>תקין</v>
      </c>
      <c r="K275" s="546"/>
      <c r="L275" s="340" t="str">
        <f>IF(OR(ארנונה!$C$9=0,ארנונה!$O$9&lt;&gt;0),"",P275)</f>
        <v/>
      </c>
      <c r="M275" s="558"/>
      <c r="N275" s="282"/>
      <c r="P275" s="42" t="s">
        <v>305</v>
      </c>
    </row>
    <row r="276" spans="1:16" x14ac:dyDescent="0.2">
      <c r="A276" s="394">
        <v>232</v>
      </c>
      <c r="B276" s="389" t="s">
        <v>123</v>
      </c>
      <c r="C276" s="389" t="s">
        <v>306</v>
      </c>
      <c r="D276" s="390">
        <f t="shared" si="12"/>
        <v>2017</v>
      </c>
      <c r="E276" s="391">
        <f>ארנונה!$O$10</f>
        <v>5589</v>
      </c>
      <c r="F276" s="392"/>
      <c r="G276" s="393"/>
      <c r="H276" s="455"/>
      <c r="I276" s="391"/>
      <c r="J276" s="338" t="str">
        <f>IF(OR(ארנונה!$C$10=0,ארנונה!$O$10&lt;&gt;0),$B$3,"")</f>
        <v>תקין</v>
      </c>
      <c r="K276" s="546"/>
      <c r="L276" s="340" t="str">
        <f>IF(OR(ארנונה!$C$10=0,ארנונה!$O$10&lt;&gt;0),"",P276)</f>
        <v/>
      </c>
      <c r="M276" s="558"/>
      <c r="N276" s="282"/>
      <c r="P276" s="42" t="s">
        <v>307</v>
      </c>
    </row>
    <row r="277" spans="1:16" x14ac:dyDescent="0.2">
      <c r="A277" s="394">
        <v>233</v>
      </c>
      <c r="B277" s="389" t="s">
        <v>123</v>
      </c>
      <c r="C277" s="389" t="s">
        <v>308</v>
      </c>
      <c r="D277" s="390">
        <f t="shared" si="12"/>
        <v>2017</v>
      </c>
      <c r="E277" s="391">
        <f>ארנונה!$O$11</f>
        <v>2206</v>
      </c>
      <c r="F277" s="392"/>
      <c r="G277" s="393"/>
      <c r="H277" s="455"/>
      <c r="I277" s="391"/>
      <c r="J277" s="338" t="str">
        <f>IF(OR(ארנונה!$C$11=0,ארנונה!$O$11&lt;&gt;0),$B$3,"")</f>
        <v>תקין</v>
      </c>
      <c r="K277" s="546"/>
      <c r="L277" s="340" t="str">
        <f>IF(OR(ארנונה!$C$11=0,ארנונה!$O$11&lt;&gt;0),"",P277)</f>
        <v/>
      </c>
      <c r="M277" s="558"/>
      <c r="N277" s="282"/>
      <c r="P277" s="42" t="s">
        <v>309</v>
      </c>
    </row>
    <row r="278" spans="1:16" x14ac:dyDescent="0.2">
      <c r="A278" s="394">
        <v>234</v>
      </c>
      <c r="B278" s="389" t="s">
        <v>123</v>
      </c>
      <c r="C278" s="389" t="s">
        <v>310</v>
      </c>
      <c r="D278" s="390">
        <f t="shared" si="12"/>
        <v>2017</v>
      </c>
      <c r="E278" s="391">
        <f>ארנונה!$O$12</f>
        <v>1985</v>
      </c>
      <c r="F278" s="392"/>
      <c r="G278" s="393"/>
      <c r="H278" s="455"/>
      <c r="I278" s="391"/>
      <c r="J278" s="338" t="str">
        <f>IF(OR(ארנונה!$C$12=0,ארנונה!$O$12&lt;&gt;0),$B$3,"")</f>
        <v>תקין</v>
      </c>
      <c r="K278" s="546"/>
      <c r="L278" s="340" t="str">
        <f>IF(OR(ארנונה!$C$12=0,ארנונה!$O$12&lt;&gt;0),"",P278)</f>
        <v/>
      </c>
      <c r="M278" s="558"/>
      <c r="N278" s="282"/>
      <c r="P278" s="42" t="s">
        <v>311</v>
      </c>
    </row>
    <row r="279" spans="1:16" x14ac:dyDescent="0.2">
      <c r="A279" s="394">
        <v>235</v>
      </c>
      <c r="B279" s="389" t="s">
        <v>123</v>
      </c>
      <c r="C279" s="389" t="s">
        <v>312</v>
      </c>
      <c r="D279" s="390">
        <f t="shared" si="12"/>
        <v>2017</v>
      </c>
      <c r="E279" s="391">
        <f>ארנונה!$O$13</f>
        <v>3279</v>
      </c>
      <c r="F279" s="392"/>
      <c r="G279" s="393"/>
      <c r="H279" s="455"/>
      <c r="I279" s="391"/>
      <c r="J279" s="338" t="str">
        <f>IF(OR(ארנונה!$C$13=0,ארנונה!$O$13&lt;&gt;0),$B$3,"")</f>
        <v>תקין</v>
      </c>
      <c r="K279" s="546"/>
      <c r="L279" s="340" t="str">
        <f>IF(OR(ארנונה!$C$13=0,ארנונה!$O$13&lt;&gt;0),"",P279)</f>
        <v/>
      </c>
      <c r="M279" s="558"/>
      <c r="N279" s="282"/>
      <c r="P279" s="42" t="s">
        <v>313</v>
      </c>
    </row>
    <row r="280" spans="1:16" x14ac:dyDescent="0.2">
      <c r="A280" s="394">
        <v>236</v>
      </c>
      <c r="B280" s="389" t="s">
        <v>123</v>
      </c>
      <c r="C280" s="389" t="s">
        <v>314</v>
      </c>
      <c r="D280" s="390">
        <f t="shared" si="12"/>
        <v>2017</v>
      </c>
      <c r="E280" s="391">
        <f>ארנונה!$O$14</f>
        <v>0</v>
      </c>
      <c r="F280" s="392"/>
      <c r="G280" s="393"/>
      <c r="H280" s="455"/>
      <c r="I280" s="391"/>
      <c r="J280" s="338" t="str">
        <f>IF(OR(ארנונה!$C$14=0,ארנונה!$O$14&lt;&gt;0),$B$3,"")</f>
        <v>תקין</v>
      </c>
      <c r="K280" s="546"/>
      <c r="L280" s="340" t="str">
        <f>IF(OR(ארנונה!$C$14=0,ארנונה!$O$14&lt;&gt;0),"",P280)</f>
        <v/>
      </c>
      <c r="M280" s="558"/>
      <c r="N280" s="282"/>
      <c r="P280" s="42" t="s">
        <v>315</v>
      </c>
    </row>
    <row r="281" spans="1:16" x14ac:dyDescent="0.2">
      <c r="A281" s="394">
        <v>237</v>
      </c>
      <c r="B281" s="389" t="s">
        <v>123</v>
      </c>
      <c r="C281" s="389" t="s">
        <v>316</v>
      </c>
      <c r="D281" s="390">
        <f t="shared" si="12"/>
        <v>2017</v>
      </c>
      <c r="E281" s="391">
        <f>ארנונה!$O$15</f>
        <v>9</v>
      </c>
      <c r="F281" s="392"/>
      <c r="G281" s="393"/>
      <c r="H281" s="455"/>
      <c r="I281" s="391"/>
      <c r="J281" s="338" t="str">
        <f>IF(OR(ארנונה!$C$15=0,ארנונה!$O$15&lt;&gt;0),$B$3,"")</f>
        <v>תקין</v>
      </c>
      <c r="K281" s="546"/>
      <c r="L281" s="340" t="str">
        <f>IF(OR(ארנונה!$C$15=0,ארנונה!$O$15&lt;&gt;0),"",P281)</f>
        <v/>
      </c>
      <c r="M281" s="558"/>
      <c r="N281" s="282"/>
      <c r="P281" s="42" t="s">
        <v>317</v>
      </c>
    </row>
    <row r="282" spans="1:16" x14ac:dyDescent="0.2">
      <c r="A282" s="394">
        <v>238</v>
      </c>
      <c r="B282" s="389" t="s">
        <v>123</v>
      </c>
      <c r="C282" s="389" t="s">
        <v>318</v>
      </c>
      <c r="D282" s="390">
        <f t="shared" si="12"/>
        <v>2017</v>
      </c>
      <c r="E282" s="391">
        <f>ארנונה!$O$16</f>
        <v>106</v>
      </c>
      <c r="F282" s="392"/>
      <c r="G282" s="393"/>
      <c r="H282" s="455"/>
      <c r="I282" s="391"/>
      <c r="J282" s="338" t="str">
        <f>IF(OR(ארנונה!$C$16=0,ארנונה!$O$16&lt;&gt;0),$B$3,"")</f>
        <v>תקין</v>
      </c>
      <c r="K282" s="546"/>
      <c r="L282" s="340" t="str">
        <f>IF(OR(ארנונה!$C$16=0,ארנונה!$O$16&lt;&gt;0),"",P282)</f>
        <v/>
      </c>
      <c r="M282" s="558"/>
      <c r="N282" s="282"/>
      <c r="P282" s="42" t="s">
        <v>319</v>
      </c>
    </row>
    <row r="283" spans="1:16" x14ac:dyDescent="0.2">
      <c r="A283" s="394">
        <v>239</v>
      </c>
      <c r="B283" s="385" t="s">
        <v>123</v>
      </c>
      <c r="C283" s="385" t="s">
        <v>320</v>
      </c>
      <c r="D283" s="375">
        <f t="shared" si="12"/>
        <v>2017</v>
      </c>
      <c r="E283" s="386">
        <f>ארנונה!$O$17</f>
        <v>0</v>
      </c>
      <c r="F283" s="387"/>
      <c r="G283" s="388"/>
      <c r="H283" s="454"/>
      <c r="I283" s="386"/>
      <c r="J283" s="307" t="str">
        <f>IF(OR(ארנונה!$C$17=0,ארנונה!$O$17&lt;&gt;0),$B$3,"")</f>
        <v>תקין</v>
      </c>
      <c r="K283" s="537"/>
      <c r="L283" s="314" t="str">
        <f>IF(OR(ארנונה!$C$17=0,ארנונה!$O$17&lt;&gt;0),"",P283)</f>
        <v/>
      </c>
      <c r="M283" s="557"/>
      <c r="N283" s="282"/>
      <c r="P283" s="42" t="s">
        <v>321</v>
      </c>
    </row>
    <row r="284" spans="1:16" ht="13.5" customHeight="1" x14ac:dyDescent="0.2">
      <c r="A284" s="394">
        <v>240</v>
      </c>
      <c r="B284" s="385" t="s">
        <v>123</v>
      </c>
      <c r="C284" s="385" t="s">
        <v>322</v>
      </c>
      <c r="D284" s="375">
        <f t="shared" si="12"/>
        <v>2017</v>
      </c>
      <c r="E284" s="386">
        <f>ארנונה!$O$18</f>
        <v>52</v>
      </c>
      <c r="F284" s="387"/>
      <c r="G284" s="388"/>
      <c r="H284" s="454"/>
      <c r="I284" s="386"/>
      <c r="J284" s="307" t="str">
        <f>IF(OR(ארנונה!$C$18=0,ארנונה!$O$18&lt;&gt;0),$B$3,"")</f>
        <v>תקין</v>
      </c>
      <c r="K284" s="537"/>
      <c r="L284" s="314" t="str">
        <f>IF(OR(ארנונה!C$18=0,ארנונה!$O$18&lt;&gt;0),"",P284)</f>
        <v/>
      </c>
      <c r="M284" s="557"/>
      <c r="N284" s="282"/>
      <c r="P284" s="42" t="s">
        <v>323</v>
      </c>
    </row>
    <row r="285" spans="1:16" ht="37.5" customHeight="1" x14ac:dyDescent="0.2">
      <c r="A285" s="394">
        <v>241</v>
      </c>
      <c r="B285" s="380" t="s">
        <v>123</v>
      </c>
      <c r="C285" s="380" t="s">
        <v>324</v>
      </c>
      <c r="D285" s="375">
        <f t="shared" si="12"/>
        <v>2017</v>
      </c>
      <c r="E285" s="381">
        <f>ארנונה!$O$22</f>
        <v>0</v>
      </c>
      <c r="F285" s="382"/>
      <c r="G285" s="383"/>
      <c r="H285" s="454"/>
      <c r="I285" s="381"/>
      <c r="J285" s="312" t="str">
        <f>IF(OR(ארנונה!$C$22=0,ארנונה!$O$22&lt;&gt;0),$B$3,"")</f>
        <v>תקין</v>
      </c>
      <c r="K285" s="537"/>
      <c r="L285" s="313" t="str">
        <f>IF(OR(ארנונה!C$22=0,ארנונה!$O$22&lt;&gt;0),"",P285)</f>
        <v/>
      </c>
      <c r="M285" s="572"/>
      <c r="N285" s="282"/>
      <c r="P285" s="42" t="s">
        <v>325</v>
      </c>
    </row>
    <row r="286" spans="1:16" ht="12" customHeight="1" x14ac:dyDescent="0.2">
      <c r="A286" s="379"/>
      <c r="B286" s="380"/>
      <c r="C286" s="380"/>
      <c r="D286" s="375"/>
      <c r="E286" s="381"/>
      <c r="F286" s="382"/>
      <c r="G286" s="383"/>
      <c r="H286" s="454"/>
      <c r="I286" s="381"/>
      <c r="J286" s="312"/>
      <c r="K286" s="537"/>
      <c r="L286" s="313"/>
      <c r="M286" s="572"/>
      <c r="N286" s="282"/>
    </row>
    <row r="287" spans="1:16" ht="12.75" customHeight="1" x14ac:dyDescent="0.2">
      <c r="A287" s="379"/>
      <c r="B287" s="380"/>
      <c r="C287" s="380"/>
      <c r="D287" s="375"/>
      <c r="E287" s="381"/>
      <c r="F287" s="382"/>
      <c r="G287" s="383"/>
      <c r="H287" s="454"/>
      <c r="I287" s="381"/>
      <c r="J287" s="312"/>
      <c r="K287" s="537"/>
      <c r="L287" s="313"/>
      <c r="M287" s="572"/>
      <c r="N287" s="282"/>
    </row>
    <row r="288" spans="1:16" ht="27.75" customHeight="1" x14ac:dyDescent="0.2">
      <c r="A288" s="379">
        <v>242</v>
      </c>
      <c r="B288" s="380" t="s">
        <v>123</v>
      </c>
      <c r="C288" s="380" t="s">
        <v>326</v>
      </c>
      <c r="D288" s="375">
        <f t="shared" ref="D288:D301" si="13">$F$3</f>
        <v>2017</v>
      </c>
      <c r="E288" s="381">
        <f>ארנונה!$C$6</f>
        <v>664604.11</v>
      </c>
      <c r="F288" s="382"/>
      <c r="G288" s="383"/>
      <c r="H288" s="454"/>
      <c r="I288" s="381"/>
      <c r="J288" s="312" t="str">
        <f>IF(OR(ארנונה!$O$6=0,ארנונה!$C$6&lt;&gt;0),$B$3,"")</f>
        <v>תקין</v>
      </c>
      <c r="K288" s="537"/>
      <c r="L288" s="313" t="str">
        <f>IF(OR(ארנונה!$O$6=0,ארנונה!$C$6&lt;&gt;0),"",P288)</f>
        <v/>
      </c>
      <c r="M288" s="572"/>
      <c r="N288" s="282"/>
      <c r="P288" s="42" t="s">
        <v>327</v>
      </c>
    </row>
    <row r="289" spans="1:16" ht="27.75" customHeight="1" x14ac:dyDescent="0.2">
      <c r="A289" s="379">
        <v>243</v>
      </c>
      <c r="B289" s="380" t="s">
        <v>123</v>
      </c>
      <c r="C289" s="380" t="s">
        <v>328</v>
      </c>
      <c r="D289" s="375">
        <f t="shared" si="13"/>
        <v>2017</v>
      </c>
      <c r="E289" s="381">
        <f>ארנונה!$C$7</f>
        <v>159316.84</v>
      </c>
      <c r="F289" s="382"/>
      <c r="G289" s="383"/>
      <c r="H289" s="454"/>
      <c r="I289" s="381"/>
      <c r="J289" s="312" t="str">
        <f>IF(OR(ארנונה!$O$7=0,ארנונה!$C$7&lt;&gt;0),$B$3,"")</f>
        <v>תקין</v>
      </c>
      <c r="K289" s="537"/>
      <c r="L289" s="313" t="str">
        <f>IF(OR(ארנונה!$O$7=0,ארנונה!$C$7&lt;&gt;0),"",P289)</f>
        <v/>
      </c>
      <c r="M289" s="572"/>
      <c r="N289" s="282"/>
      <c r="P289" s="42" t="s">
        <v>329</v>
      </c>
    </row>
    <row r="290" spans="1:16" ht="27.75" customHeight="1" x14ac:dyDescent="0.2">
      <c r="A290" s="379">
        <v>244</v>
      </c>
      <c r="B290" s="380" t="s">
        <v>123</v>
      </c>
      <c r="C290" s="380" t="s">
        <v>330</v>
      </c>
      <c r="D290" s="375">
        <f t="shared" si="13"/>
        <v>2017</v>
      </c>
      <c r="E290" s="381">
        <f>ארנונה!$C$8</f>
        <v>60.68</v>
      </c>
      <c r="F290" s="382"/>
      <c r="G290" s="383"/>
      <c r="H290" s="454"/>
      <c r="I290" s="381"/>
      <c r="J290" s="312" t="str">
        <f>IF(OR(ארנונה!$O$8=0,ארנונה!$C$8&lt;&gt;0),$B$3,"")</f>
        <v>תקין</v>
      </c>
      <c r="K290" s="537"/>
      <c r="L290" s="313" t="str">
        <f>IF(OR(ארנונה!$O$8=0,ארנונה!$C$8&lt;&gt;0),"",P290)</f>
        <v/>
      </c>
      <c r="M290" s="572"/>
      <c r="N290" s="282"/>
      <c r="P290" s="42" t="s">
        <v>331</v>
      </c>
    </row>
    <row r="291" spans="1:16" ht="27.75" customHeight="1" x14ac:dyDescent="0.2">
      <c r="A291" s="379">
        <v>245</v>
      </c>
      <c r="B291" s="380" t="s">
        <v>123</v>
      </c>
      <c r="C291" s="380" t="s">
        <v>332</v>
      </c>
      <c r="D291" s="375">
        <f t="shared" si="13"/>
        <v>2017</v>
      </c>
      <c r="E291" s="381">
        <f>ארנונה!$C$9</f>
        <v>167471.71</v>
      </c>
      <c r="F291" s="382"/>
      <c r="G291" s="383"/>
      <c r="H291" s="454"/>
      <c r="I291" s="381"/>
      <c r="J291" s="312" t="str">
        <f>IF(OR(ארנונה!$O$9=0,ארנונה!$C$9&lt;&gt;0),$B$3,"")</f>
        <v>תקין</v>
      </c>
      <c r="K291" s="537"/>
      <c r="L291" s="313" t="str">
        <f>IF(OR(ארנונה!$O$9=0,ארנונה!$C$9&lt;&gt;0),"",P291)</f>
        <v/>
      </c>
      <c r="M291" s="572"/>
      <c r="N291" s="282"/>
      <c r="P291" s="42" t="s">
        <v>333</v>
      </c>
    </row>
    <row r="292" spans="1:16" ht="27.75" customHeight="1" x14ac:dyDescent="0.2">
      <c r="A292" s="379">
        <v>246</v>
      </c>
      <c r="B292" s="380" t="s">
        <v>123</v>
      </c>
      <c r="C292" s="380" t="s">
        <v>334</v>
      </c>
      <c r="D292" s="375">
        <f t="shared" si="13"/>
        <v>2017</v>
      </c>
      <c r="E292" s="381">
        <f>ארנונה!$C$10</f>
        <v>88883.33</v>
      </c>
      <c r="F292" s="382"/>
      <c r="G292" s="383"/>
      <c r="H292" s="454"/>
      <c r="I292" s="381"/>
      <c r="J292" s="312" t="str">
        <f>IF(OR(ארנונה!$O$10=0,ארנונה!$C$10&lt;&gt;0),$B$3,"")</f>
        <v>תקין</v>
      </c>
      <c r="K292" s="537"/>
      <c r="L292" s="313" t="str">
        <f>IF(OR(ארנונה!$O$10=0,ארנונה!$C$10&lt;&gt;0),"",P292)</f>
        <v/>
      </c>
      <c r="M292" s="572"/>
      <c r="N292" s="282"/>
      <c r="P292" s="42" t="s">
        <v>335</v>
      </c>
    </row>
    <row r="293" spans="1:16" ht="27.75" customHeight="1" x14ac:dyDescent="0.2">
      <c r="A293" s="379">
        <v>247</v>
      </c>
      <c r="B293" s="380" t="s">
        <v>123</v>
      </c>
      <c r="C293" s="380" t="s">
        <v>336</v>
      </c>
      <c r="D293" s="375">
        <f t="shared" si="13"/>
        <v>2017</v>
      </c>
      <c r="E293" s="381">
        <f>ארנונה!$C$11</f>
        <v>38482.35</v>
      </c>
      <c r="F293" s="382"/>
      <c r="G293" s="383"/>
      <c r="H293" s="454"/>
      <c r="I293" s="381"/>
      <c r="J293" s="312" t="str">
        <f>IF(OR(ארנונה!$O$11=0,ארנונה!$C$11&lt;&gt;0),$B$3,"")</f>
        <v>תקין</v>
      </c>
      <c r="K293" s="537"/>
      <c r="L293" s="313" t="str">
        <f>IF(OR(ארנונה!$O$11=0,ארנונה!$C$11&lt;&gt;0),"",P293)</f>
        <v/>
      </c>
      <c r="M293" s="572"/>
      <c r="N293" s="282"/>
      <c r="P293" s="42" t="s">
        <v>337</v>
      </c>
    </row>
    <row r="294" spans="1:16" ht="27.75" customHeight="1" x14ac:dyDescent="0.2">
      <c r="A294" s="379">
        <v>248</v>
      </c>
      <c r="B294" s="380" t="s">
        <v>123</v>
      </c>
      <c r="C294" s="380" t="s">
        <v>338</v>
      </c>
      <c r="D294" s="375">
        <f t="shared" si="13"/>
        <v>2017</v>
      </c>
      <c r="E294" s="381">
        <f>ארנונה!$C$12</f>
        <v>50016.57</v>
      </c>
      <c r="F294" s="382"/>
      <c r="G294" s="383"/>
      <c r="H294" s="454"/>
      <c r="I294" s="381"/>
      <c r="J294" s="312" t="str">
        <f>IF(OR(ארנונה!$O$12=0,ארנונה!$C$12&lt;&gt;0),$B$3,"")</f>
        <v>תקין</v>
      </c>
      <c r="K294" s="537"/>
      <c r="L294" s="313" t="str">
        <f>IF(OR(ארנונה!$O$12=0,ארנונה!$C$12&lt;&gt;0),"",P294)</f>
        <v/>
      </c>
      <c r="M294" s="572"/>
      <c r="N294" s="282"/>
      <c r="P294" s="42" t="s">
        <v>339</v>
      </c>
    </row>
    <row r="295" spans="1:16" ht="27.75" customHeight="1" x14ac:dyDescent="0.2">
      <c r="A295" s="379">
        <v>249</v>
      </c>
      <c r="B295" s="380" t="s">
        <v>123</v>
      </c>
      <c r="C295" s="380" t="s">
        <v>340</v>
      </c>
      <c r="D295" s="375">
        <f t="shared" si="13"/>
        <v>2017</v>
      </c>
      <c r="E295" s="381">
        <f>ארנונה!$C$13</f>
        <v>1647.2550800000001</v>
      </c>
      <c r="F295" s="382"/>
      <c r="G295" s="383"/>
      <c r="H295" s="454"/>
      <c r="I295" s="381"/>
      <c r="J295" s="312" t="str">
        <f>IF(OR(ארנונה!$O$13=0,ארנונה!$C$13&lt;&gt;0),$B$3,"")</f>
        <v>תקין</v>
      </c>
      <c r="K295" s="537"/>
      <c r="L295" s="313" t="str">
        <f>IF(OR(ארנונה!$O$13=0,ארנונה!$C$13&lt;&gt;0),"",P295)</f>
        <v/>
      </c>
      <c r="M295" s="572"/>
      <c r="N295" s="282"/>
      <c r="P295" s="42" t="s">
        <v>341</v>
      </c>
    </row>
    <row r="296" spans="1:16" ht="27.75" customHeight="1" x14ac:dyDescent="0.2">
      <c r="A296" s="379">
        <v>250</v>
      </c>
      <c r="B296" s="380" t="s">
        <v>123</v>
      </c>
      <c r="C296" s="380" t="s">
        <v>342</v>
      </c>
      <c r="D296" s="375">
        <f t="shared" si="13"/>
        <v>2017</v>
      </c>
      <c r="E296" s="381">
        <f>ארנונה!$C$14</f>
        <v>0</v>
      </c>
      <c r="F296" s="382"/>
      <c r="G296" s="383"/>
      <c r="H296" s="454"/>
      <c r="I296" s="381"/>
      <c r="J296" s="312" t="str">
        <f>IF(OR(ארנונה!$O$14=0,ארנונה!$C$14&lt;&gt;0),$B$3,"")</f>
        <v>תקין</v>
      </c>
      <c r="K296" s="537"/>
      <c r="L296" s="313" t="str">
        <f>IF(OR(ארנונה!$O$14=0,ארנונה!$C$14&lt;&gt;0),"",P296)</f>
        <v/>
      </c>
      <c r="M296" s="572"/>
      <c r="N296" s="282"/>
      <c r="P296" s="42" t="s">
        <v>343</v>
      </c>
    </row>
    <row r="297" spans="1:16" ht="27.75" customHeight="1" x14ac:dyDescent="0.2">
      <c r="A297" s="379">
        <v>251</v>
      </c>
      <c r="B297" s="380" t="s">
        <v>123</v>
      </c>
      <c r="C297" s="380" t="s">
        <v>344</v>
      </c>
      <c r="D297" s="375">
        <f t="shared" si="13"/>
        <v>2017</v>
      </c>
      <c r="E297" s="381">
        <f>ארנונה!$C$15</f>
        <v>8116.5</v>
      </c>
      <c r="F297" s="382"/>
      <c r="G297" s="383"/>
      <c r="H297" s="454"/>
      <c r="I297" s="381"/>
      <c r="J297" s="312" t="str">
        <f>IF(OR(ארנונה!$O$15=0,ארנונה!$C$15&lt;&gt;0),$B$3,"")</f>
        <v>תקין</v>
      </c>
      <c r="K297" s="537"/>
      <c r="L297" s="313" t="str">
        <f>IF(OR(ארנונה!$O$15=0,ארנונה!$C$15&lt;&gt;0),"",P297)</f>
        <v/>
      </c>
      <c r="M297" s="572"/>
      <c r="N297" s="282"/>
      <c r="P297" s="42" t="s">
        <v>345</v>
      </c>
    </row>
    <row r="298" spans="1:16" ht="27.75" customHeight="1" x14ac:dyDescent="0.2">
      <c r="A298" s="379">
        <v>252</v>
      </c>
      <c r="B298" s="380" t="s">
        <v>123</v>
      </c>
      <c r="C298" s="380" t="s">
        <v>346</v>
      </c>
      <c r="D298" s="375">
        <f t="shared" si="13"/>
        <v>2017</v>
      </c>
      <c r="E298" s="381">
        <f>ארנונה!$C$16</f>
        <v>313260.92</v>
      </c>
      <c r="F298" s="382"/>
      <c r="G298" s="383"/>
      <c r="H298" s="454"/>
      <c r="I298" s="381"/>
      <c r="J298" s="312" t="str">
        <f>IF(OR(ארנונה!$O$16=0,ארנונה!$C$16&lt;&gt;0),$B$3,"")</f>
        <v>תקין</v>
      </c>
      <c r="K298" s="537"/>
      <c r="L298" s="313" t="str">
        <f>IF(OR(ארנונה!$O$16=0,ארנונה!$C$16&lt;&gt;0),"",P298)</f>
        <v/>
      </c>
      <c r="M298" s="572"/>
      <c r="N298" s="282"/>
      <c r="P298" s="42" t="s">
        <v>347</v>
      </c>
    </row>
    <row r="299" spans="1:16" ht="27.75" customHeight="1" x14ac:dyDescent="0.2">
      <c r="A299" s="379">
        <v>253</v>
      </c>
      <c r="B299" s="380" t="s">
        <v>123</v>
      </c>
      <c r="C299" s="380" t="s">
        <v>348</v>
      </c>
      <c r="D299" s="375">
        <f t="shared" si="13"/>
        <v>2017</v>
      </c>
      <c r="E299" s="381">
        <f>ארנונה!$C$17</f>
        <v>0</v>
      </c>
      <c r="F299" s="382"/>
      <c r="G299" s="383"/>
      <c r="H299" s="454"/>
      <c r="I299" s="381"/>
      <c r="J299" s="312" t="str">
        <f>IF(OR(ארנונה!$O$17=0,ארנונה!$C$17&lt;&gt;0),$B$3,"")</f>
        <v>תקין</v>
      </c>
      <c r="K299" s="537"/>
      <c r="L299" s="313" t="str">
        <f>IF(OR(ארנונה!$O$17=0,ארנונה!$C$17&lt;&gt;0),"",P299)</f>
        <v/>
      </c>
      <c r="M299" s="572"/>
      <c r="N299" s="282"/>
      <c r="P299" s="42" t="s">
        <v>349</v>
      </c>
    </row>
    <row r="300" spans="1:16" ht="27.75" customHeight="1" x14ac:dyDescent="0.2">
      <c r="A300" s="379">
        <v>254</v>
      </c>
      <c r="B300" s="380" t="s">
        <v>123</v>
      </c>
      <c r="C300" s="380" t="s">
        <v>350</v>
      </c>
      <c r="D300" s="375">
        <f t="shared" si="13"/>
        <v>2017</v>
      </c>
      <c r="E300" s="381">
        <f>ארנונה!$C$18</f>
        <v>785.92</v>
      </c>
      <c r="F300" s="382"/>
      <c r="G300" s="383"/>
      <c r="H300" s="454"/>
      <c r="I300" s="381"/>
      <c r="J300" s="312" t="str">
        <f>IF(OR(ארנונה!$O$18=0,ארנונה!$C$18&lt;&gt;0),$B$3,"")</f>
        <v>תקין</v>
      </c>
      <c r="K300" s="537"/>
      <c r="L300" s="313" t="str">
        <f>IF(OR(ארנונה!$O$18=0,ארנונה!$C$18&lt;&gt;0),"",P300)</f>
        <v/>
      </c>
      <c r="M300" s="572"/>
      <c r="N300" s="282"/>
      <c r="P300" s="42" t="s">
        <v>351</v>
      </c>
    </row>
    <row r="301" spans="1:16" ht="38.25" customHeight="1" x14ac:dyDescent="0.2">
      <c r="A301" s="379">
        <v>255</v>
      </c>
      <c r="B301" s="380" t="s">
        <v>123</v>
      </c>
      <c r="C301" s="380" t="s">
        <v>352</v>
      </c>
      <c r="D301" s="375">
        <f t="shared" si="13"/>
        <v>2017</v>
      </c>
      <c r="E301" s="381">
        <f>ארנונה!$C$22</f>
        <v>0</v>
      </c>
      <c r="F301" s="382"/>
      <c r="G301" s="383"/>
      <c r="H301" s="454"/>
      <c r="I301" s="381"/>
      <c r="J301" s="312" t="str">
        <f>IF(OR(ארנונה!$O$22=0,ארנונה!$C$22&lt;&gt;0),$B$3,"")</f>
        <v>תקין</v>
      </c>
      <c r="K301" s="537"/>
      <c r="L301" s="313" t="str">
        <f>IF(OR(ארנונה!$O$22=0,ארנונה!$C$22&lt;&gt;0),"",P301)</f>
        <v/>
      </c>
      <c r="M301" s="572"/>
      <c r="N301" s="282"/>
      <c r="P301" s="42" t="s">
        <v>353</v>
      </c>
    </row>
    <row r="302" spans="1:16" ht="13.5" customHeight="1" x14ac:dyDescent="0.2">
      <c r="A302" s="379"/>
      <c r="B302" s="380"/>
      <c r="C302" s="380"/>
      <c r="D302" s="375"/>
      <c r="E302" s="381"/>
      <c r="F302" s="382"/>
      <c r="G302" s="383"/>
      <c r="H302" s="454"/>
      <c r="I302" s="381"/>
      <c r="J302" s="312"/>
      <c r="K302" s="537"/>
      <c r="L302" s="313"/>
      <c r="M302" s="572"/>
      <c r="N302" s="282"/>
    </row>
    <row r="303" spans="1:16" ht="27.75" customHeight="1" x14ac:dyDescent="0.2">
      <c r="A303" s="379">
        <v>256</v>
      </c>
      <c r="B303" s="380" t="s">
        <v>123</v>
      </c>
      <c r="C303" s="380" t="s">
        <v>214</v>
      </c>
      <c r="D303" s="375">
        <f t="shared" ref="D303:D316" si="14">$F$3</f>
        <v>2017</v>
      </c>
      <c r="E303" s="381">
        <f>ארנונה!$E$6</f>
        <v>117.93</v>
      </c>
      <c r="F303" s="382"/>
      <c r="G303" s="383"/>
      <c r="H303" s="454"/>
      <c r="I303" s="381"/>
      <c r="J303" s="312" t="str">
        <f>IF(OR(ארנונה!$O$6=0,ארנונה!$E$6&lt;&gt;0),$B$3,"")</f>
        <v>תקין</v>
      </c>
      <c r="K303" s="537"/>
      <c r="L303" s="313" t="str">
        <f>IF(OR(ארנונה!$O$6=0,ארנונה!$E$6&lt;&gt;0),"",P303)</f>
        <v/>
      </c>
      <c r="M303" s="572"/>
      <c r="N303" s="282"/>
      <c r="P303" s="42" t="s">
        <v>215</v>
      </c>
    </row>
    <row r="304" spans="1:16" ht="27.75" customHeight="1" x14ac:dyDescent="0.2">
      <c r="A304" s="379">
        <v>257</v>
      </c>
      <c r="B304" s="380" t="s">
        <v>123</v>
      </c>
      <c r="C304" s="380" t="s">
        <v>216</v>
      </c>
      <c r="D304" s="375">
        <f t="shared" si="14"/>
        <v>2017</v>
      </c>
      <c r="E304" s="381">
        <f>ארנונה!$E$7</f>
        <v>377.83</v>
      </c>
      <c r="F304" s="382"/>
      <c r="G304" s="383"/>
      <c r="H304" s="454"/>
      <c r="I304" s="381"/>
      <c r="J304" s="312" t="str">
        <f>IF(OR(ארנונה!$O$7=0,ארנונה!$E$7&lt;&gt;0),$B$3,"")</f>
        <v>תקין</v>
      </c>
      <c r="K304" s="537"/>
      <c r="L304" s="313" t="str">
        <f>IF(OR(ארנונה!$O$7=0,ארנונה!$E$7&lt;&gt;0),"",P304)</f>
        <v/>
      </c>
      <c r="M304" s="572"/>
      <c r="N304" s="282"/>
      <c r="P304" s="42" t="s">
        <v>217</v>
      </c>
    </row>
    <row r="305" spans="1:16" ht="27.75" customHeight="1" x14ac:dyDescent="0.2">
      <c r="A305" s="379">
        <v>258</v>
      </c>
      <c r="B305" s="380" t="s">
        <v>123</v>
      </c>
      <c r="C305" s="380" t="s">
        <v>218</v>
      </c>
      <c r="D305" s="375">
        <f t="shared" si="14"/>
        <v>2017</v>
      </c>
      <c r="E305" s="381">
        <f>ארנונה!$E$8</f>
        <v>1360.76</v>
      </c>
      <c r="F305" s="382"/>
      <c r="G305" s="383"/>
      <c r="H305" s="454"/>
      <c r="I305" s="381"/>
      <c r="J305" s="312" t="str">
        <f>IF(OR(ארנונה!$O$8=0,ארנונה!$E$8&lt;&gt;0),$B$3,"")</f>
        <v>תקין</v>
      </c>
      <c r="K305" s="537"/>
      <c r="L305" s="313" t="str">
        <f>IF(OR(ארנונה!$O$8=0,ארנונה!$E$8&lt;&gt;0),"",P305)</f>
        <v/>
      </c>
      <c r="M305" s="572"/>
      <c r="N305" s="282"/>
      <c r="P305" s="42" t="s">
        <v>219</v>
      </c>
    </row>
    <row r="306" spans="1:16" ht="27.75" customHeight="1" x14ac:dyDescent="0.2">
      <c r="A306" s="379">
        <v>259</v>
      </c>
      <c r="B306" s="380" t="s">
        <v>123</v>
      </c>
      <c r="C306" s="380" t="s">
        <v>220</v>
      </c>
      <c r="D306" s="375">
        <f t="shared" si="14"/>
        <v>2017</v>
      </c>
      <c r="E306" s="381">
        <f>ארנונה!$E$9</f>
        <v>162.83000000000001</v>
      </c>
      <c r="F306" s="382"/>
      <c r="G306" s="383"/>
      <c r="H306" s="454"/>
      <c r="I306" s="381"/>
      <c r="J306" s="312" t="str">
        <f>IF(OR(ארנונה!$O$9=0,ארנונה!$E$9&lt;&gt;0),$B$3,"")</f>
        <v>תקין</v>
      </c>
      <c r="K306" s="537"/>
      <c r="L306" s="313" t="str">
        <f>IF(OR(ארנונה!$O$9=0,ארנונה!$E$9&lt;&gt;0),"",P306)</f>
        <v/>
      </c>
      <c r="M306" s="572"/>
      <c r="N306" s="282"/>
      <c r="P306" s="42" t="s">
        <v>221</v>
      </c>
    </row>
    <row r="307" spans="1:16" ht="27.75" customHeight="1" x14ac:dyDescent="0.2">
      <c r="A307" s="379">
        <v>260</v>
      </c>
      <c r="B307" s="380" t="s">
        <v>123</v>
      </c>
      <c r="C307" s="380" t="s">
        <v>222</v>
      </c>
      <c r="D307" s="375">
        <f t="shared" si="14"/>
        <v>2017</v>
      </c>
      <c r="E307" s="381">
        <f>ארנונה!$E$10</f>
        <v>142.97999999999999</v>
      </c>
      <c r="F307" s="382"/>
      <c r="G307" s="383"/>
      <c r="H307" s="454"/>
      <c r="I307" s="381"/>
      <c r="J307" s="312" t="str">
        <f>IF(OR(ארנונה!$O$10=0,ארנונה!$E$10&lt;&gt;0),$B$3,"")</f>
        <v>תקין</v>
      </c>
      <c r="K307" s="537"/>
      <c r="L307" s="313" t="str">
        <f>IF(OR(ארנונה!$O$10=0,ארנונה!$E$10&lt;&gt;0),"",P307)</f>
        <v/>
      </c>
      <c r="M307" s="572"/>
      <c r="N307" s="282"/>
      <c r="P307" s="42" t="s">
        <v>223</v>
      </c>
    </row>
    <row r="308" spans="1:16" ht="27.75" customHeight="1" x14ac:dyDescent="0.2">
      <c r="A308" s="379">
        <v>261</v>
      </c>
      <c r="B308" s="380" t="s">
        <v>123</v>
      </c>
      <c r="C308" s="380" t="s">
        <v>224</v>
      </c>
      <c r="D308" s="375">
        <f t="shared" si="14"/>
        <v>2017</v>
      </c>
      <c r="E308" s="381">
        <f>ארנונה!$E$11</f>
        <v>219.69</v>
      </c>
      <c r="F308" s="382"/>
      <c r="G308" s="383"/>
      <c r="H308" s="454"/>
      <c r="I308" s="381"/>
      <c r="J308" s="312" t="str">
        <f>IF(OR(ארנונה!$O$11=0,ארנונה!$E$11&lt;&gt;0),$B$3,"")</f>
        <v>תקין</v>
      </c>
      <c r="K308" s="537"/>
      <c r="L308" s="313" t="str">
        <f>IF(OR(ארנונה!$O$11=0,ארנונה!$E$11&lt;&gt;0),"",P308)</f>
        <v/>
      </c>
      <c r="M308" s="572"/>
      <c r="N308" s="282"/>
      <c r="P308" s="42" t="s">
        <v>225</v>
      </c>
    </row>
    <row r="309" spans="1:16" ht="27.75" customHeight="1" x14ac:dyDescent="0.2">
      <c r="A309" s="379">
        <v>262</v>
      </c>
      <c r="B309" s="380" t="s">
        <v>123</v>
      </c>
      <c r="C309" s="380" t="s">
        <v>226</v>
      </c>
      <c r="D309" s="375">
        <f t="shared" si="14"/>
        <v>2017</v>
      </c>
      <c r="E309" s="381">
        <f>ארנונה!$E$12</f>
        <v>660</v>
      </c>
      <c r="F309" s="382"/>
      <c r="G309" s="383"/>
      <c r="H309" s="454"/>
      <c r="I309" s="381"/>
      <c r="J309" s="312" t="str">
        <f>IF(OR(ארנונה!$O$12=0,ארנונה!$E$12&lt;&gt;0),$B$3,"")</f>
        <v>תקין</v>
      </c>
      <c r="K309" s="537"/>
      <c r="L309" s="313" t="str">
        <f>IF(OR(ארנונה!$O$12=0,ארנונה!$E$12&lt;&gt;0),"",P309)</f>
        <v/>
      </c>
      <c r="M309" s="572"/>
      <c r="N309" s="282"/>
      <c r="P309" s="42" t="s">
        <v>227</v>
      </c>
    </row>
    <row r="310" spans="1:16" ht="27.75" customHeight="1" x14ac:dyDescent="0.2">
      <c r="A310" s="379">
        <v>263</v>
      </c>
      <c r="B310" s="380" t="s">
        <v>123</v>
      </c>
      <c r="C310" s="380" t="s">
        <v>228</v>
      </c>
      <c r="D310" s="375">
        <f t="shared" si="14"/>
        <v>2017</v>
      </c>
      <c r="E310" s="381">
        <f>ארנונה!$E$13</f>
        <v>54810</v>
      </c>
      <c r="F310" s="382"/>
      <c r="G310" s="383"/>
      <c r="H310" s="454"/>
      <c r="I310" s="381"/>
      <c r="J310" s="312" t="str">
        <f>IF(OR(ארנונה!$O$13=0,ארנונה!$E$13&lt;&gt;0),$B$3,"")</f>
        <v>תקין</v>
      </c>
      <c r="K310" s="537"/>
      <c r="L310" s="313" t="str">
        <f>IF(OR(ארנונה!$O$13=0,ארנונה!$E$13&lt;&gt;0),"",P310)</f>
        <v/>
      </c>
      <c r="M310" s="572"/>
      <c r="N310" s="282"/>
      <c r="P310" s="42" t="s">
        <v>229</v>
      </c>
    </row>
    <row r="311" spans="1:16" ht="27.75" customHeight="1" x14ac:dyDescent="0.2">
      <c r="A311" s="379">
        <v>264</v>
      </c>
      <c r="B311" s="380" t="s">
        <v>123</v>
      </c>
      <c r="C311" s="380" t="s">
        <v>230</v>
      </c>
      <c r="D311" s="375">
        <f t="shared" si="14"/>
        <v>2017</v>
      </c>
      <c r="E311" s="381">
        <f>ארנונה!$E$14</f>
        <v>0</v>
      </c>
      <c r="F311" s="382"/>
      <c r="G311" s="383"/>
      <c r="H311" s="454"/>
      <c r="I311" s="381"/>
      <c r="J311" s="312" t="str">
        <f>IF(OR(ארנונה!$O$14=0,ארנונה!$E$14&lt;&gt;0),$B$3,"")</f>
        <v>תקין</v>
      </c>
      <c r="K311" s="537"/>
      <c r="L311" s="313" t="str">
        <f>IF(OR(ארנונה!$O$14=0,ארנונה!$E$14&lt;&gt;0),"",P311)</f>
        <v/>
      </c>
      <c r="M311" s="572"/>
      <c r="N311" s="282"/>
      <c r="P311" s="42" t="s">
        <v>231</v>
      </c>
    </row>
    <row r="312" spans="1:16" ht="27.75" customHeight="1" x14ac:dyDescent="0.2">
      <c r="A312" s="379">
        <v>265</v>
      </c>
      <c r="B312" s="380" t="s">
        <v>123</v>
      </c>
      <c r="C312" s="380" t="s">
        <v>232</v>
      </c>
      <c r="D312" s="375">
        <f t="shared" si="14"/>
        <v>2017</v>
      </c>
      <c r="E312" s="381">
        <f>ארנונה!$E$15</f>
        <v>65.87</v>
      </c>
      <c r="F312" s="382"/>
      <c r="G312" s="383"/>
      <c r="H312" s="454"/>
      <c r="I312" s="381"/>
      <c r="J312" s="312" t="str">
        <f>IF(OR(ארנונה!$O$15=0,ארנונה!$E$15&lt;&gt;0),$B$3,"")</f>
        <v>תקין</v>
      </c>
      <c r="K312" s="537"/>
      <c r="L312" s="313" t="str">
        <f>IF(OR(ארנונה!$O$15=0,ארנונה!$E$15&lt;&gt;0),"",P312)</f>
        <v/>
      </c>
      <c r="M312" s="572"/>
      <c r="N312" s="282"/>
      <c r="P312" s="42" t="s">
        <v>233</v>
      </c>
    </row>
    <row r="313" spans="1:16" ht="27.75" customHeight="1" x14ac:dyDescent="0.2">
      <c r="A313" s="379">
        <v>266</v>
      </c>
      <c r="B313" s="380" t="s">
        <v>123</v>
      </c>
      <c r="C313" s="380" t="s">
        <v>234</v>
      </c>
      <c r="D313" s="375">
        <f t="shared" si="14"/>
        <v>2017</v>
      </c>
      <c r="E313" s="381">
        <f>ארנונה!$E$16</f>
        <v>44.93</v>
      </c>
      <c r="F313" s="382"/>
      <c r="G313" s="383"/>
      <c r="H313" s="454"/>
      <c r="I313" s="381"/>
      <c r="J313" s="312" t="str">
        <f>IF(OR(ארנונה!$O$16=0,ארנונה!$E$16&lt;&gt;0),$B$3,"")</f>
        <v>תקין</v>
      </c>
      <c r="K313" s="537"/>
      <c r="L313" s="313" t="str">
        <f>IF(OR(ארנונה!$O$16=0,ארנונה!$E$16&lt;&gt;0),"",P313)</f>
        <v/>
      </c>
      <c r="M313" s="572"/>
      <c r="N313" s="282"/>
      <c r="P313" s="42" t="s">
        <v>235</v>
      </c>
    </row>
    <row r="314" spans="1:16" ht="27.75" customHeight="1" x14ac:dyDescent="0.2">
      <c r="A314" s="379">
        <v>267</v>
      </c>
      <c r="B314" s="380" t="s">
        <v>123</v>
      </c>
      <c r="C314" s="380" t="s">
        <v>236</v>
      </c>
      <c r="D314" s="375">
        <f t="shared" si="14"/>
        <v>2017</v>
      </c>
      <c r="E314" s="381">
        <f>ארנונה!$E$17</f>
        <v>0</v>
      </c>
      <c r="F314" s="382"/>
      <c r="G314" s="383"/>
      <c r="H314" s="454"/>
      <c r="I314" s="381"/>
      <c r="J314" s="312" t="str">
        <f>IF(OR(ארנונה!$O$17=0,ארנונה!$E$17&lt;&gt;0),$B$3,"")</f>
        <v>תקין</v>
      </c>
      <c r="K314" s="537"/>
      <c r="L314" s="313" t="str">
        <f>IF(OR(ארנונה!$O$17=0,ארנונה!$E$17&lt;&gt;0),"",P314)</f>
        <v/>
      </c>
      <c r="M314" s="572"/>
      <c r="N314" s="282"/>
      <c r="P314" s="42" t="s">
        <v>237</v>
      </c>
    </row>
    <row r="315" spans="1:16" ht="27.75" customHeight="1" x14ac:dyDescent="0.2">
      <c r="A315" s="379">
        <v>268</v>
      </c>
      <c r="B315" s="380" t="s">
        <v>123</v>
      </c>
      <c r="C315" s="380" t="s">
        <v>238</v>
      </c>
      <c r="D315" s="375">
        <f t="shared" si="14"/>
        <v>2017</v>
      </c>
      <c r="E315" s="381">
        <f>ארנונה!$E$18</f>
        <v>0</v>
      </c>
      <c r="F315" s="382"/>
      <c r="G315" s="383"/>
      <c r="H315" s="454"/>
      <c r="I315" s="381"/>
      <c r="J315" s="312" t="str">
        <f>IF(OR(ארנונה!$O$18=0,ארנונה!$E$18&lt;&gt;0),$B$3,"")</f>
        <v/>
      </c>
      <c r="K315" s="537"/>
      <c r="L315" s="313" t="str">
        <f>IF(OR(ארנונה!$O$18=0,ארנונה!$E$18&lt;&gt;0),"",P315)</f>
        <v>חסרים נתוני תעריף מקסימום לנכסים אחרים</v>
      </c>
      <c r="M315" s="572"/>
      <c r="N315" s="282"/>
      <c r="P315" s="42" t="s">
        <v>239</v>
      </c>
    </row>
    <row r="316" spans="1:16" ht="38.25" customHeight="1" x14ac:dyDescent="0.2">
      <c r="A316" s="379">
        <v>269</v>
      </c>
      <c r="B316" s="380" t="s">
        <v>123</v>
      </c>
      <c r="C316" s="380" t="s">
        <v>240</v>
      </c>
      <c r="D316" s="375">
        <f t="shared" si="14"/>
        <v>2017</v>
      </c>
      <c r="E316" s="381">
        <f>ארנונה!$E$22</f>
        <v>0</v>
      </c>
      <c r="F316" s="382"/>
      <c r="G316" s="383"/>
      <c r="H316" s="454"/>
      <c r="I316" s="381"/>
      <c r="J316" s="312" t="str">
        <f>IF(OR(ארנונה!$O$22=0,ארנונה!$E$22&lt;&gt;0),$B$3,"")</f>
        <v>תקין</v>
      </c>
      <c r="K316" s="537"/>
      <c r="L316" s="313" t="str">
        <f>IF(OR(ארנונה!$O$22=0,ארנונה!$E$22&lt;&gt;0),"",P316)</f>
        <v/>
      </c>
      <c r="M316" s="572"/>
      <c r="N316" s="282"/>
      <c r="P316" s="42" t="s">
        <v>241</v>
      </c>
    </row>
    <row r="317" spans="1:16" ht="27.75" customHeight="1" x14ac:dyDescent="0.2">
      <c r="A317" s="379"/>
      <c r="B317" s="380"/>
      <c r="C317" s="380"/>
      <c r="D317" s="375"/>
      <c r="E317" s="381"/>
      <c r="F317" s="382"/>
      <c r="G317" s="383"/>
      <c r="H317" s="454"/>
      <c r="I317" s="381"/>
      <c r="J317" s="312"/>
      <c r="K317" s="537"/>
      <c r="L317" s="313"/>
      <c r="M317" s="572"/>
      <c r="N317" s="282"/>
    </row>
    <row r="318" spans="1:16" ht="27.75" customHeight="1" x14ac:dyDescent="0.2">
      <c r="A318" s="379">
        <v>270</v>
      </c>
      <c r="B318" s="380" t="s">
        <v>123</v>
      </c>
      <c r="C318" s="380" t="s">
        <v>242</v>
      </c>
      <c r="D318" s="375">
        <f t="shared" ref="D318:D331" si="15">$F$3</f>
        <v>2017</v>
      </c>
      <c r="E318" s="381">
        <f>ארנונה!$G$6</f>
        <v>34.03</v>
      </c>
      <c r="F318" s="382"/>
      <c r="G318" s="383"/>
      <c r="H318" s="454"/>
      <c r="I318" s="381"/>
      <c r="J318" s="312" t="str">
        <f>IF(OR(ארנונה!$O$6=0,ארנונה!$G$6&lt;&gt;0),$B$3,"")</f>
        <v>תקין</v>
      </c>
      <c r="K318" s="537"/>
      <c r="L318" s="313" t="str">
        <f>IF(OR(ארנונה!$O$6=0,ארנונה!$G$6&lt;&gt;0),"",P318)</f>
        <v/>
      </c>
      <c r="M318" s="572"/>
      <c r="N318" s="282"/>
      <c r="P318" s="42" t="s">
        <v>243</v>
      </c>
    </row>
    <row r="319" spans="1:16" ht="27.75" customHeight="1" x14ac:dyDescent="0.2">
      <c r="A319" s="379">
        <v>271</v>
      </c>
      <c r="B319" s="380" t="s">
        <v>123</v>
      </c>
      <c r="C319" s="380" t="s">
        <v>244</v>
      </c>
      <c r="D319" s="375">
        <f t="shared" si="15"/>
        <v>2017</v>
      </c>
      <c r="E319" s="381">
        <f>ארנונה!$G$7</f>
        <v>66.819999999999993</v>
      </c>
      <c r="F319" s="382"/>
      <c r="G319" s="383"/>
      <c r="H319" s="454"/>
      <c r="I319" s="381"/>
      <c r="J319" s="312" t="str">
        <f>IF(OR(ארנונה!$O$7=0,ארנונה!$G$7&lt;&gt;0),$B$3,"")</f>
        <v>תקין</v>
      </c>
      <c r="K319" s="537"/>
      <c r="L319" s="313" t="str">
        <f>IF(OR(ארנונה!$O$7=0,ארנונה!$G$7&lt;&gt;0),"",P319)</f>
        <v/>
      </c>
      <c r="M319" s="572"/>
      <c r="N319" s="282"/>
      <c r="P319" s="42" t="s">
        <v>245</v>
      </c>
    </row>
    <row r="320" spans="1:16" ht="27.75" customHeight="1" x14ac:dyDescent="0.2">
      <c r="A320" s="379">
        <v>272</v>
      </c>
      <c r="B320" s="380" t="s">
        <v>123</v>
      </c>
      <c r="C320" s="380" t="s">
        <v>246</v>
      </c>
      <c r="D320" s="375">
        <f t="shared" si="15"/>
        <v>2017</v>
      </c>
      <c r="E320" s="381">
        <f>ארנונה!$G$8</f>
        <v>454.4</v>
      </c>
      <c r="F320" s="382"/>
      <c r="G320" s="383"/>
      <c r="H320" s="454"/>
      <c r="I320" s="381"/>
      <c r="J320" s="312" t="str">
        <f>IF(OR(ארנונה!$O$8=0,ארנונה!$G$8&lt;&gt;0),$B$3,"")</f>
        <v>תקין</v>
      </c>
      <c r="K320" s="537"/>
      <c r="L320" s="313" t="str">
        <f>IF(OR(ארנונה!$O$8=0,ארנונה!$G$8&lt;&gt;0),"",P320)</f>
        <v/>
      </c>
      <c r="M320" s="572"/>
      <c r="N320" s="282"/>
      <c r="P320" s="42" t="s">
        <v>247</v>
      </c>
    </row>
    <row r="321" spans="1:16" ht="27.75" customHeight="1" x14ac:dyDescent="0.2">
      <c r="A321" s="379">
        <v>273</v>
      </c>
      <c r="B321" s="380" t="s">
        <v>123</v>
      </c>
      <c r="C321" s="380" t="s">
        <v>248</v>
      </c>
      <c r="D321" s="375">
        <f t="shared" si="15"/>
        <v>2017</v>
      </c>
      <c r="E321" s="381">
        <f>ארנונה!$G$9</f>
        <v>24.36</v>
      </c>
      <c r="F321" s="382"/>
      <c r="G321" s="383"/>
      <c r="H321" s="454"/>
      <c r="I321" s="381"/>
      <c r="J321" s="312" t="str">
        <f>IF(OR(ארנונה!$O$9=0,ארנונה!$G$9&lt;&gt;0),$B$3,"")</f>
        <v>תקין</v>
      </c>
      <c r="K321" s="537"/>
      <c r="L321" s="313" t="str">
        <f>IF(OR(ארנונה!$O$9=0,ארנונה!$G$9&lt;&gt;0),"",P321)</f>
        <v/>
      </c>
      <c r="M321" s="572"/>
      <c r="N321" s="282"/>
      <c r="P321" s="42" t="s">
        <v>249</v>
      </c>
    </row>
    <row r="322" spans="1:16" ht="27.75" customHeight="1" x14ac:dyDescent="0.2">
      <c r="A322" s="379">
        <v>274</v>
      </c>
      <c r="B322" s="380" t="s">
        <v>123</v>
      </c>
      <c r="C322" s="380" t="s">
        <v>250</v>
      </c>
      <c r="D322" s="375">
        <f t="shared" si="15"/>
        <v>2017</v>
      </c>
      <c r="E322" s="381">
        <f>ארנונה!$G$10</f>
        <v>37.61</v>
      </c>
      <c r="F322" s="382"/>
      <c r="G322" s="383"/>
      <c r="H322" s="454"/>
      <c r="I322" s="381"/>
      <c r="J322" s="312" t="str">
        <f>IF(OR(ארנונה!$O$10=0,ארנונה!$G$10&lt;&gt;0),$B$3,"")</f>
        <v>תקין</v>
      </c>
      <c r="K322" s="537"/>
      <c r="L322" s="313" t="str">
        <f>IF(OR(ארנונה!$O$10=0,ארנונה!$G$10&lt;&gt;0),"",P322)</f>
        <v/>
      </c>
      <c r="M322" s="572"/>
      <c r="N322" s="282"/>
      <c r="P322" s="42" t="s">
        <v>251</v>
      </c>
    </row>
    <row r="323" spans="1:16" ht="27.75" customHeight="1" x14ac:dyDescent="0.2">
      <c r="A323" s="379">
        <v>275</v>
      </c>
      <c r="B323" s="380" t="s">
        <v>123</v>
      </c>
      <c r="C323" s="380" t="s">
        <v>252</v>
      </c>
      <c r="D323" s="375">
        <f t="shared" si="15"/>
        <v>2017</v>
      </c>
      <c r="E323" s="381">
        <f>ארנונה!$G$11</f>
        <v>45.11</v>
      </c>
      <c r="F323" s="382"/>
      <c r="G323" s="383"/>
      <c r="H323" s="454"/>
      <c r="I323" s="381"/>
      <c r="J323" s="312" t="str">
        <f>IF(OR(ארנונה!$O$11=0,ארנונה!$G$11&lt;&gt;0),$B$3,"")</f>
        <v>תקין</v>
      </c>
      <c r="K323" s="537"/>
      <c r="L323" s="313" t="str">
        <f>IF(OR(ארנונה!$O$11=0,ארנונה!$G$11&lt;&gt;0),"",P323)</f>
        <v/>
      </c>
      <c r="M323" s="572"/>
      <c r="N323" s="282"/>
      <c r="P323" s="42" t="s">
        <v>253</v>
      </c>
    </row>
    <row r="324" spans="1:16" ht="27.75" customHeight="1" x14ac:dyDescent="0.2">
      <c r="A324" s="379">
        <v>276</v>
      </c>
      <c r="B324" s="380" t="s">
        <v>123</v>
      </c>
      <c r="C324" s="380" t="s">
        <v>254</v>
      </c>
      <c r="D324" s="375">
        <f t="shared" si="15"/>
        <v>2017</v>
      </c>
      <c r="E324" s="381">
        <f>ארנונה!$G$12</f>
        <v>9.4509999999999987</v>
      </c>
      <c r="F324" s="382"/>
      <c r="G324" s="383"/>
      <c r="H324" s="454"/>
      <c r="I324" s="381"/>
      <c r="J324" s="312" t="str">
        <f>IF(OR(ארנונה!$O$12=0,ארנונה!$G$12&lt;&gt;0),$B$3,"")</f>
        <v>תקין</v>
      </c>
      <c r="K324" s="537"/>
      <c r="L324" s="313" t="str">
        <f>IF(OR(ארנונה!$O$12=0,ארנונה!$G$12&lt;&gt;0),"",P324)</f>
        <v/>
      </c>
      <c r="M324" s="572"/>
      <c r="N324" s="282"/>
      <c r="P324" s="42" t="s">
        <v>255</v>
      </c>
    </row>
    <row r="325" spans="1:16" ht="27.75" customHeight="1" x14ac:dyDescent="0.2">
      <c r="A325" s="379">
        <v>277</v>
      </c>
      <c r="B325" s="380" t="s">
        <v>123</v>
      </c>
      <c r="C325" s="380" t="s">
        <v>256</v>
      </c>
      <c r="D325" s="375">
        <f t="shared" si="15"/>
        <v>2017</v>
      </c>
      <c r="E325" s="381">
        <f>ארנונה!$G$13</f>
        <v>10.758000000000001</v>
      </c>
      <c r="F325" s="382"/>
      <c r="G325" s="383"/>
      <c r="H325" s="454"/>
      <c r="I325" s="381"/>
      <c r="J325" s="312" t="str">
        <f>IF(OR(ארנונה!$O$13=0,ארנונה!$G$13&lt;&gt;0),$B$3,"")</f>
        <v>תקין</v>
      </c>
      <c r="K325" s="537"/>
      <c r="L325" s="313" t="str">
        <f>IF(OR(ארנונה!$O$13=0,ארנונה!$G$13&lt;&gt;0),"",P325)</f>
        <v/>
      </c>
      <c r="M325" s="572"/>
      <c r="N325" s="282"/>
      <c r="P325" s="42" t="s">
        <v>257</v>
      </c>
    </row>
    <row r="326" spans="1:16" ht="27.75" customHeight="1" x14ac:dyDescent="0.2">
      <c r="A326" s="379">
        <v>278</v>
      </c>
      <c r="B326" s="380" t="s">
        <v>123</v>
      </c>
      <c r="C326" s="380" t="s">
        <v>258</v>
      </c>
      <c r="D326" s="375">
        <f t="shared" si="15"/>
        <v>2017</v>
      </c>
      <c r="E326" s="381">
        <f>ארנונה!$G$14</f>
        <v>0</v>
      </c>
      <c r="F326" s="382"/>
      <c r="G326" s="383"/>
      <c r="H326" s="454"/>
      <c r="I326" s="381"/>
      <c r="J326" s="312" t="str">
        <f>IF(OR(ארנונה!$O$14=0,ארנונה!$G$14&lt;&gt;0),$B$3,"")</f>
        <v>תקין</v>
      </c>
      <c r="K326" s="537"/>
      <c r="L326" s="313" t="str">
        <f>IF(OR(ארנונה!$O$14=0,ארנונה!$G$14&lt;&gt;0),"",P326)</f>
        <v/>
      </c>
      <c r="M326" s="572"/>
      <c r="N326" s="282"/>
      <c r="P326" s="42" t="s">
        <v>259</v>
      </c>
    </row>
    <row r="327" spans="1:16" ht="27.75" customHeight="1" x14ac:dyDescent="0.2">
      <c r="A327" s="379">
        <v>279</v>
      </c>
      <c r="B327" s="380" t="s">
        <v>123</v>
      </c>
      <c r="C327" s="380" t="s">
        <v>260</v>
      </c>
      <c r="D327" s="375">
        <f t="shared" si="15"/>
        <v>2017</v>
      </c>
      <c r="E327" s="381">
        <f>ארנונה!$G$15</f>
        <v>1.39</v>
      </c>
      <c r="F327" s="382"/>
      <c r="G327" s="383"/>
      <c r="H327" s="454"/>
      <c r="I327" s="381"/>
      <c r="J327" s="312" t="str">
        <f>IF(OR(ארנונה!$O$15=0,ארנונה!$G$15&lt;&gt;0),$B$3,"")</f>
        <v>תקין</v>
      </c>
      <c r="K327" s="537"/>
      <c r="L327" s="313" t="str">
        <f>IF(OR(ארנונה!$O$15=0,ארנונה!$G$15&lt;&gt;0),"",P327)</f>
        <v/>
      </c>
      <c r="M327" s="572"/>
      <c r="N327" s="282"/>
      <c r="P327" s="42" t="s">
        <v>261</v>
      </c>
    </row>
    <row r="328" spans="1:16" ht="27.75" customHeight="1" x14ac:dyDescent="0.2">
      <c r="A328" s="379">
        <v>280</v>
      </c>
      <c r="B328" s="380" t="s">
        <v>123</v>
      </c>
      <c r="C328" s="380" t="s">
        <v>262</v>
      </c>
      <c r="D328" s="375">
        <f t="shared" si="15"/>
        <v>2017</v>
      </c>
      <c r="E328" s="381">
        <f>ארנונה!$G$16</f>
        <v>0.34300000000000003</v>
      </c>
      <c r="F328" s="382"/>
      <c r="G328" s="383"/>
      <c r="H328" s="454"/>
      <c r="I328" s="381"/>
      <c r="J328" s="312" t="str">
        <f>IF(OR(ארנונה!$O$16=0,ארנונה!$G$16&lt;&gt;0),$B$3,"")</f>
        <v>תקין</v>
      </c>
      <c r="K328" s="537"/>
      <c r="L328" s="313" t="str">
        <f>IF(OR(ארנונה!$O$16=0,ארנונה!$G$16&lt;&gt;0),"",P328)</f>
        <v/>
      </c>
      <c r="M328" s="572"/>
      <c r="N328" s="282"/>
      <c r="P328" s="42" t="s">
        <v>263</v>
      </c>
    </row>
    <row r="329" spans="1:16" ht="27.75" customHeight="1" x14ac:dyDescent="0.2">
      <c r="A329" s="379">
        <v>281</v>
      </c>
      <c r="B329" s="380" t="s">
        <v>123</v>
      </c>
      <c r="C329" s="380" t="s">
        <v>264</v>
      </c>
      <c r="D329" s="375">
        <f t="shared" si="15"/>
        <v>2017</v>
      </c>
      <c r="E329" s="381">
        <f>ארנונה!$G$17</f>
        <v>0</v>
      </c>
      <c r="F329" s="382"/>
      <c r="G329" s="383"/>
      <c r="H329" s="454"/>
      <c r="I329" s="381"/>
      <c r="J329" s="312" t="str">
        <f>IF(OR(ארנונה!$O$17=0,ארנונה!$G$17&lt;&gt;0),$B$3,"")</f>
        <v>תקין</v>
      </c>
      <c r="K329" s="537"/>
      <c r="L329" s="313" t="str">
        <f>IF(OR(ארנונה!$O$17=0,ארנונה!$G$17&lt;&gt;0),"",P329)</f>
        <v/>
      </c>
      <c r="M329" s="572"/>
      <c r="N329" s="282"/>
      <c r="P329" s="42" t="s">
        <v>265</v>
      </c>
    </row>
    <row r="330" spans="1:16" ht="27.75" customHeight="1" x14ac:dyDescent="0.2">
      <c r="A330" s="379">
        <v>282</v>
      </c>
      <c r="B330" s="380" t="s">
        <v>123</v>
      </c>
      <c r="C330" s="380" t="s">
        <v>266</v>
      </c>
      <c r="D330" s="375">
        <f t="shared" si="15"/>
        <v>2017</v>
      </c>
      <c r="E330" s="381">
        <f>ארנונה!$G$18</f>
        <v>0</v>
      </c>
      <c r="F330" s="382"/>
      <c r="G330" s="383"/>
      <c r="H330" s="454"/>
      <c r="I330" s="381"/>
      <c r="J330" s="312" t="str">
        <f>IF(OR(ארנונה!$O$18=0,ארנונה!$G$18&lt;&gt;0),$B$3,"")</f>
        <v/>
      </c>
      <c r="K330" s="537"/>
      <c r="L330" s="313" t="str">
        <f>IF(OR(ארנונה!$O$18=0,ארנונה!$G$18&lt;&gt;0),"",P330)</f>
        <v>חסרים נתוני תעריף מינימום לנכסים אחרים</v>
      </c>
      <c r="M330" s="572"/>
      <c r="N330" s="282"/>
      <c r="P330" s="42" t="s">
        <v>267</v>
      </c>
    </row>
    <row r="331" spans="1:16" ht="38.25" customHeight="1" x14ac:dyDescent="0.2">
      <c r="A331" s="379">
        <v>283</v>
      </c>
      <c r="B331" s="380" t="s">
        <v>123</v>
      </c>
      <c r="C331" s="380" t="s">
        <v>268</v>
      </c>
      <c r="D331" s="375">
        <f t="shared" si="15"/>
        <v>2017</v>
      </c>
      <c r="E331" s="381">
        <f>ארנונה!$G$22</f>
        <v>0</v>
      </c>
      <c r="F331" s="382"/>
      <c r="G331" s="383"/>
      <c r="H331" s="454"/>
      <c r="I331" s="381"/>
      <c r="J331" s="312" t="str">
        <f>IF(OR(ארנונה!$O$22=0,ארנונה!$G$22&lt;&gt;0),$B$3,"")</f>
        <v>תקין</v>
      </c>
      <c r="K331" s="537"/>
      <c r="L331" s="313" t="str">
        <f>IF(OR(ארנונה!$O$22=0,ארנונה!$G$22&lt;&gt;0),"",P331)</f>
        <v/>
      </c>
      <c r="M331" s="572"/>
      <c r="N331" s="282"/>
      <c r="P331" s="42" t="s">
        <v>269</v>
      </c>
    </row>
    <row r="332" spans="1:16" ht="27.75" customHeight="1" x14ac:dyDescent="0.2">
      <c r="A332" s="379"/>
      <c r="B332" s="380"/>
      <c r="C332" s="380"/>
      <c r="D332" s="375"/>
      <c r="E332" s="381"/>
      <c r="F332" s="382"/>
      <c r="G332" s="383"/>
      <c r="H332" s="454"/>
      <c r="I332" s="381"/>
      <c r="J332" s="312"/>
      <c r="K332" s="537"/>
      <c r="L332" s="313"/>
      <c r="M332" s="572"/>
      <c r="N332" s="282"/>
    </row>
    <row r="333" spans="1:16" ht="27.75" customHeight="1" x14ac:dyDescent="0.2">
      <c r="A333" s="379">
        <v>284</v>
      </c>
      <c r="B333" s="380" t="s">
        <v>123</v>
      </c>
      <c r="C333" s="380" t="s">
        <v>270</v>
      </c>
      <c r="D333" s="375">
        <f t="shared" ref="D333:D346" si="16">$G$3</f>
        <v>2016</v>
      </c>
      <c r="E333" s="381">
        <f>ארנונה!$K$6</f>
        <v>33</v>
      </c>
      <c r="F333" s="382"/>
      <c r="G333" s="383"/>
      <c r="H333" s="454"/>
      <c r="I333" s="381"/>
      <c r="J333" s="312" t="str">
        <f>IF(OR(ארנונה!$O$6=0,ארנונה!$K$6&lt;&gt;0),$B$3,"")</f>
        <v>תקין</v>
      </c>
      <c r="K333" s="537"/>
      <c r="L333" s="313" t="str">
        <f>IF(OR(ארנונה!$O$6=0,ארנונה!$K$6&lt;&gt;0),"",P333)</f>
        <v/>
      </c>
      <c r="M333" s="572"/>
      <c r="N333" s="282"/>
      <c r="P333" s="42" t="s">
        <v>271</v>
      </c>
    </row>
    <row r="334" spans="1:16" ht="27.75" customHeight="1" x14ac:dyDescent="0.2">
      <c r="A334" s="379">
        <v>285</v>
      </c>
      <c r="B334" s="380" t="s">
        <v>123</v>
      </c>
      <c r="C334" s="380" t="s">
        <v>272</v>
      </c>
      <c r="D334" s="375">
        <f t="shared" si="16"/>
        <v>2016</v>
      </c>
      <c r="E334" s="381">
        <f>ארנונה!$K$7</f>
        <v>73</v>
      </c>
      <c r="F334" s="382"/>
      <c r="G334" s="383"/>
      <c r="H334" s="454"/>
      <c r="I334" s="381"/>
      <c r="J334" s="312" t="str">
        <f>IF(OR(ארנונה!$O$7=0,ארנונה!$K$7&lt;&gt;0),$B$3,"")</f>
        <v>תקין</v>
      </c>
      <c r="K334" s="537"/>
      <c r="L334" s="313" t="str">
        <f>IF(OR(ארנונה!$O$7=0,ארנונה!$K$7&lt;&gt;0),"",P334)</f>
        <v/>
      </c>
      <c r="M334" s="572"/>
      <c r="N334" s="282"/>
      <c r="P334" s="42" t="s">
        <v>273</v>
      </c>
    </row>
    <row r="335" spans="1:16" ht="27.75" customHeight="1" x14ac:dyDescent="0.2">
      <c r="A335" s="379">
        <v>286</v>
      </c>
      <c r="B335" s="380" t="s">
        <v>123</v>
      </c>
      <c r="C335" s="380" t="s">
        <v>274</v>
      </c>
      <c r="D335" s="375">
        <f t="shared" si="16"/>
        <v>2016</v>
      </c>
      <c r="E335" s="381">
        <f>ארנונה!$K$8</f>
        <v>0</v>
      </c>
      <c r="F335" s="382"/>
      <c r="G335" s="383"/>
      <c r="H335" s="454"/>
      <c r="I335" s="381"/>
      <c r="J335" s="312" t="str">
        <f>IF(OR(ארנונה!$O$8=0,ארנונה!$K$8&lt;&gt;0),$B$3,"")</f>
        <v/>
      </c>
      <c r="K335" s="537"/>
      <c r="L335" s="313" t="str">
        <f>IF(OR(ארנונה!$O$8=0,ארנונה!$K$8&lt;&gt;0),"",P335)</f>
        <v>חסרים נתוני תעריף משוקלל שנה קודמת לבנקים</v>
      </c>
      <c r="M335" s="572"/>
      <c r="N335" s="282"/>
      <c r="P335" s="42" t="s">
        <v>275</v>
      </c>
    </row>
    <row r="336" spans="1:16" ht="27.75" customHeight="1" x14ac:dyDescent="0.2">
      <c r="A336" s="379">
        <v>287</v>
      </c>
      <c r="B336" s="380" t="s">
        <v>123</v>
      </c>
      <c r="C336" s="380" t="s">
        <v>276</v>
      </c>
      <c r="D336" s="375">
        <f t="shared" si="16"/>
        <v>2016</v>
      </c>
      <c r="E336" s="381">
        <f>ארנונה!$K$9</f>
        <v>39</v>
      </c>
      <c r="F336" s="382"/>
      <c r="G336" s="383"/>
      <c r="H336" s="454"/>
      <c r="I336" s="381"/>
      <c r="J336" s="312" t="str">
        <f>IF(OR(ארנונה!$O$9=0,ארנונה!$K$9&lt;&gt;0),$B$3,"")</f>
        <v>תקין</v>
      </c>
      <c r="K336" s="537"/>
      <c r="L336" s="313" t="str">
        <f>IF(OR(ארנונה!$O$9=0,ארנונה!$K$9&lt;&gt;0),"",P336)</f>
        <v/>
      </c>
      <c r="M336" s="572"/>
      <c r="N336" s="282"/>
      <c r="P336" s="42" t="s">
        <v>277</v>
      </c>
    </row>
    <row r="337" spans="1:16" ht="27.75" customHeight="1" x14ac:dyDescent="0.2">
      <c r="A337" s="379">
        <v>288</v>
      </c>
      <c r="B337" s="380" t="s">
        <v>123</v>
      </c>
      <c r="C337" s="380" t="s">
        <v>278</v>
      </c>
      <c r="D337" s="375">
        <f t="shared" si="16"/>
        <v>2016</v>
      </c>
      <c r="E337" s="381">
        <f>ארנונה!$K$10</f>
        <v>62</v>
      </c>
      <c r="F337" s="382"/>
      <c r="G337" s="383"/>
      <c r="H337" s="454"/>
      <c r="I337" s="381"/>
      <c r="J337" s="312" t="str">
        <f>IF(OR(ארנונה!$O$10=0,ארנונה!$K$10&lt;&gt;0),$B$3,"")</f>
        <v>תקין</v>
      </c>
      <c r="K337" s="537"/>
      <c r="L337" s="313" t="str">
        <f>IF(OR(ארנונה!$O$10=0,ארנונה!$K$10&lt;&gt;0),"",P337)</f>
        <v/>
      </c>
      <c r="M337" s="572"/>
      <c r="N337" s="282"/>
      <c r="P337" s="42" t="s">
        <v>279</v>
      </c>
    </row>
    <row r="338" spans="1:16" ht="27.75" customHeight="1" x14ac:dyDescent="0.2">
      <c r="A338" s="379">
        <v>289</v>
      </c>
      <c r="B338" s="380" t="s">
        <v>123</v>
      </c>
      <c r="C338" s="380" t="s">
        <v>280</v>
      </c>
      <c r="D338" s="375">
        <f t="shared" si="16"/>
        <v>2016</v>
      </c>
      <c r="E338" s="381">
        <f>ארנונה!$K$11</f>
        <v>56</v>
      </c>
      <c r="F338" s="382"/>
      <c r="G338" s="383"/>
      <c r="H338" s="454"/>
      <c r="I338" s="381"/>
      <c r="J338" s="312" t="str">
        <f>IF(OR(ארנונה!$O$11=0,ארנונה!$K$11&lt;&gt;0),$B$3,"")</f>
        <v>תקין</v>
      </c>
      <c r="K338" s="537"/>
      <c r="L338" s="313" t="str">
        <f>IF(OR(ארנונה!$O$11=0,ארנונה!$K$11&lt;&gt;0),"",P338)</f>
        <v/>
      </c>
      <c r="M338" s="572"/>
      <c r="N338" s="282"/>
      <c r="P338" s="42" t="s">
        <v>281</v>
      </c>
    </row>
    <row r="339" spans="1:16" ht="38.25" customHeight="1" x14ac:dyDescent="0.2">
      <c r="A339" s="379">
        <v>290</v>
      </c>
      <c r="B339" s="385" t="s">
        <v>123</v>
      </c>
      <c r="C339" s="385" t="s">
        <v>282</v>
      </c>
      <c r="D339" s="375">
        <f t="shared" si="16"/>
        <v>2016</v>
      </c>
      <c r="E339" s="386">
        <f>ארנונה!$K$12</f>
        <v>43</v>
      </c>
      <c r="F339" s="387"/>
      <c r="G339" s="388"/>
      <c r="H339" s="454"/>
      <c r="I339" s="386"/>
      <c r="J339" s="307" t="str">
        <f>IF(OR(ארנונה!$O$12=0,ארנונה!$K$12&lt;&gt;0),$B$3,"")</f>
        <v>תקין</v>
      </c>
      <c r="K339" s="537"/>
      <c r="L339" s="314" t="str">
        <f>IF(OR(ארנונה!$O$12=0,ארנונה!$K$12&lt;&gt;0),"",P339)</f>
        <v/>
      </c>
      <c r="M339" s="557"/>
      <c r="N339" s="306"/>
      <c r="P339" s="42" t="s">
        <v>283</v>
      </c>
    </row>
    <row r="340" spans="1:16" ht="25.5" x14ac:dyDescent="0.2">
      <c r="A340" s="379">
        <v>291</v>
      </c>
      <c r="B340" s="385" t="s">
        <v>123</v>
      </c>
      <c r="C340" s="385" t="s">
        <v>284</v>
      </c>
      <c r="D340" s="375">
        <f t="shared" si="16"/>
        <v>2016</v>
      </c>
      <c r="E340" s="386">
        <f>ארנונה!$K$13</f>
        <v>1959</v>
      </c>
      <c r="F340" s="387"/>
      <c r="G340" s="388"/>
      <c r="H340" s="454"/>
      <c r="I340" s="386"/>
      <c r="J340" s="307" t="str">
        <f>IF(OR(ארנונה!$O$13=0,ארנונה!$K$13&lt;&gt;0),$B$3,"")</f>
        <v>תקין</v>
      </c>
      <c r="K340" s="537"/>
      <c r="L340" s="314" t="str">
        <f>IF(OR(ארנונה!$O$13=0,ארנונה!$K$13&lt;&gt;0),"",P340)</f>
        <v/>
      </c>
      <c r="M340" s="557"/>
      <c r="N340" s="306"/>
      <c r="P340" s="42" t="s">
        <v>285</v>
      </c>
    </row>
    <row r="341" spans="1:16" ht="28.5" customHeight="1" x14ac:dyDescent="0.2">
      <c r="A341" s="379">
        <v>292</v>
      </c>
      <c r="B341" s="385" t="s">
        <v>123</v>
      </c>
      <c r="C341" s="385" t="s">
        <v>286</v>
      </c>
      <c r="D341" s="375">
        <f t="shared" si="16"/>
        <v>2016</v>
      </c>
      <c r="E341" s="386">
        <f>ארנונה!$K$14</f>
        <v>0</v>
      </c>
      <c r="F341" s="387"/>
      <c r="G341" s="388"/>
      <c r="H341" s="454"/>
      <c r="I341" s="386"/>
      <c r="J341" s="307" t="str">
        <f>IF(OR(ארנונה!$O$14=0,ארנונה!$K$14&lt;&gt;0),$B$3,"")</f>
        <v>תקין</v>
      </c>
      <c r="K341" s="537"/>
      <c r="L341" s="314" t="str">
        <f>IF(OR(ארנונה!$O$14=0,ארנונה!$K$14&lt;&gt;0),"",P341)</f>
        <v/>
      </c>
      <c r="M341" s="557"/>
      <c r="N341" s="282"/>
      <c r="P341" s="42" t="s">
        <v>287</v>
      </c>
    </row>
    <row r="342" spans="1:16" ht="39" customHeight="1" x14ac:dyDescent="0.2">
      <c r="A342" s="379">
        <v>293</v>
      </c>
      <c r="B342" s="385" t="s">
        <v>123</v>
      </c>
      <c r="C342" s="385" t="s">
        <v>288</v>
      </c>
      <c r="D342" s="375">
        <f t="shared" si="16"/>
        <v>2016</v>
      </c>
      <c r="E342" s="386">
        <f>ארנונה!$K$15</f>
        <v>1</v>
      </c>
      <c r="F342" s="387"/>
      <c r="G342" s="388"/>
      <c r="H342" s="454"/>
      <c r="I342" s="386"/>
      <c r="J342" s="307" t="str">
        <f>IF(OR(ארנונה!$O$15=0,ארנונה!$K$15&lt;&gt;0),$B$3,"")</f>
        <v>תקין</v>
      </c>
      <c r="K342" s="537"/>
      <c r="L342" s="314" t="str">
        <f>IF(OR(ארנונה!$O$15=0,ארנונה!$K$15&lt;&gt;0),"",P342)</f>
        <v/>
      </c>
      <c r="M342" s="557"/>
      <c r="N342" s="282"/>
      <c r="P342" s="42" t="s">
        <v>289</v>
      </c>
    </row>
    <row r="343" spans="1:16" ht="30.75" customHeight="1" x14ac:dyDescent="0.2">
      <c r="A343" s="379">
        <v>294</v>
      </c>
      <c r="B343" s="385" t="s">
        <v>123</v>
      </c>
      <c r="C343" s="385" t="s">
        <v>290</v>
      </c>
      <c r="D343" s="375">
        <f t="shared" si="16"/>
        <v>2016</v>
      </c>
      <c r="E343" s="386">
        <f>ארנונה!$K$16</f>
        <v>0.32</v>
      </c>
      <c r="F343" s="387"/>
      <c r="G343" s="388"/>
      <c r="H343" s="454"/>
      <c r="I343" s="386"/>
      <c r="J343" s="307" t="str">
        <f>IF(OR(ארנונה!$O$16=0,ארנונה!$K$16&lt;&gt;0),$B$3,"")</f>
        <v>תקין</v>
      </c>
      <c r="K343" s="537"/>
      <c r="L343" s="314" t="str">
        <f>IF(OR(ארנונה!$O$16=0,ארנונה!$K$16&lt;&gt;0),"",P343)</f>
        <v/>
      </c>
      <c r="M343" s="557"/>
      <c r="N343" s="282"/>
      <c r="P343" s="42" t="s">
        <v>291</v>
      </c>
    </row>
    <row r="344" spans="1:16" ht="25.5" x14ac:dyDescent="0.2">
      <c r="A344" s="379">
        <v>295</v>
      </c>
      <c r="B344" s="389" t="s">
        <v>123</v>
      </c>
      <c r="C344" s="389" t="s">
        <v>292</v>
      </c>
      <c r="D344" s="390">
        <f t="shared" si="16"/>
        <v>2016</v>
      </c>
      <c r="E344" s="391">
        <f>ארנונה!$K$17</f>
        <v>0</v>
      </c>
      <c r="F344" s="392"/>
      <c r="G344" s="393"/>
      <c r="H344" s="455"/>
      <c r="I344" s="391"/>
      <c r="J344" s="338" t="str">
        <f>IF(OR(ארנונה!$O$17=0,ארנונה!$K$17&lt;&gt;0),$B$3,"")</f>
        <v>תקין</v>
      </c>
      <c r="K344" s="546"/>
      <c r="L344" s="340" t="str">
        <f>IF(OR(ארנונה!$O$17=0,ארנונה!$K$17&lt;&gt;0),"",P344)</f>
        <v/>
      </c>
      <c r="M344" s="558"/>
      <c r="N344" s="282"/>
      <c r="P344" s="42" t="s">
        <v>293</v>
      </c>
    </row>
    <row r="345" spans="1:16" ht="25.5" x14ac:dyDescent="0.2">
      <c r="A345" s="379">
        <v>296</v>
      </c>
      <c r="B345" s="389" t="s">
        <v>123</v>
      </c>
      <c r="C345" s="389" t="s">
        <v>294</v>
      </c>
      <c r="D345" s="390">
        <f t="shared" si="16"/>
        <v>2016</v>
      </c>
      <c r="E345" s="391">
        <f>ארנונה!$K$18</f>
        <v>14</v>
      </c>
      <c r="F345" s="392"/>
      <c r="G345" s="393"/>
      <c r="H345" s="455"/>
      <c r="I345" s="391"/>
      <c r="J345" s="338" t="str">
        <f>IF(OR(ארנונה!$O$18=0,ארנונה!$K$18&lt;&gt;0),$B$3,"")</f>
        <v>תקין</v>
      </c>
      <c r="K345" s="546"/>
      <c r="L345" s="340" t="str">
        <f>IF(OR(ארנונה!$O$18=0,ארנונה!$K$18&lt;&gt;0),"",P345)</f>
        <v/>
      </c>
      <c r="M345" s="558"/>
      <c r="N345" s="282"/>
      <c r="P345" s="42" t="s">
        <v>295</v>
      </c>
    </row>
    <row r="346" spans="1:16" ht="38.25" x14ac:dyDescent="0.2">
      <c r="A346" s="379">
        <v>297</v>
      </c>
      <c r="B346" s="389" t="s">
        <v>123</v>
      </c>
      <c r="C346" s="389" t="s">
        <v>296</v>
      </c>
      <c r="D346" s="390">
        <f t="shared" si="16"/>
        <v>2016</v>
      </c>
      <c r="E346" s="391">
        <f>ארנונה!$K$22</f>
        <v>0</v>
      </c>
      <c r="F346" s="392"/>
      <c r="G346" s="393"/>
      <c r="H346" s="455"/>
      <c r="I346" s="391"/>
      <c r="J346" s="338" t="str">
        <f>IF(OR(ארנונה!$O$22=0,ארנונה!$K$22&lt;&gt;0),$B$3,"")</f>
        <v>תקין</v>
      </c>
      <c r="K346" s="546"/>
      <c r="L346" s="340" t="str">
        <f>IF(OR(ארנונה!$O$22=0,ארנונה!$K$22&lt;&gt;0),"",P346)</f>
        <v/>
      </c>
      <c r="M346" s="557"/>
      <c r="N346" s="282"/>
      <c r="P346" s="42" t="s">
        <v>297</v>
      </c>
    </row>
    <row r="347" spans="1:16" x14ac:dyDescent="0.2">
      <c r="A347" s="379"/>
      <c r="B347" s="474"/>
      <c r="C347" s="474"/>
      <c r="D347" s="390"/>
      <c r="E347" s="391"/>
      <c r="F347" s="392"/>
      <c r="G347" s="393"/>
      <c r="H347" s="455"/>
      <c r="I347" s="391"/>
      <c r="J347" s="338"/>
      <c r="K347" s="546"/>
      <c r="L347" s="340"/>
      <c r="M347" s="557"/>
      <c r="N347" s="282"/>
    </row>
    <row r="348" spans="1:16" ht="25.5" x14ac:dyDescent="0.2">
      <c r="A348" s="379">
        <v>298</v>
      </c>
      <c r="B348" s="380" t="s">
        <v>123</v>
      </c>
      <c r="C348" s="380" t="s">
        <v>449</v>
      </c>
      <c r="D348" s="455">
        <f>$F$3</f>
        <v>2017</v>
      </c>
      <c r="E348" s="391">
        <f>ארנונה!I6</f>
        <v>33.692238225851476</v>
      </c>
      <c r="F348" s="392"/>
      <c r="G348" s="393"/>
      <c r="H348" s="455"/>
      <c r="I348" s="391"/>
      <c r="J348" s="338" t="str">
        <f>IF(OR(E348&lt;=ארנונה!E6,'בדיקות הצלבה'!E348&gt;=ארנונה!G6),$B$3,"")</f>
        <v>תקין</v>
      </c>
      <c r="K348" s="546"/>
      <c r="L348" s="340" t="str">
        <f>IF(OR(E348&lt;=ארנונה!E6,'בדיקות הצלבה'!E348&gt;=ארנונה!G6),"",P348)</f>
        <v/>
      </c>
      <c r="M348" s="557"/>
      <c r="N348" s="282"/>
      <c r="P348" s="58" t="s">
        <v>463</v>
      </c>
    </row>
    <row r="349" spans="1:16" ht="25.5" x14ac:dyDescent="0.2">
      <c r="A349" s="379">
        <v>299</v>
      </c>
      <c r="B349" s="380" t="s">
        <v>123</v>
      </c>
      <c r="C349" s="380" t="s">
        <v>450</v>
      </c>
      <c r="D349" s="455">
        <f t="shared" ref="D349:D361" si="17">$F$3</f>
        <v>2017</v>
      </c>
      <c r="E349" s="391">
        <f>ארנונה!I7</f>
        <v>72.672794665020973</v>
      </c>
      <c r="F349" s="392"/>
      <c r="G349" s="393"/>
      <c r="H349" s="455"/>
      <c r="I349" s="391"/>
      <c r="J349" s="338" t="str">
        <f>IF(OR(E349&lt;=ארנונה!E7,'בדיקות הצלבה'!E349&gt;=ארנונה!G7),$B$3,"")</f>
        <v>תקין</v>
      </c>
      <c r="K349" s="546"/>
      <c r="L349" s="340" t="str">
        <f>IF(OR(E349&lt;=ארנונה!E7,'בדיקות הצלבה'!E349&gt;=ארנונה!G7),"",P349)</f>
        <v/>
      </c>
      <c r="M349" s="557"/>
      <c r="N349" s="282"/>
      <c r="P349" s="58" t="s">
        <v>464</v>
      </c>
    </row>
    <row r="350" spans="1:16" x14ac:dyDescent="0.2">
      <c r="A350" s="379">
        <v>300</v>
      </c>
      <c r="B350" s="380" t="s">
        <v>123</v>
      </c>
      <c r="C350" s="380" t="s">
        <v>451</v>
      </c>
      <c r="D350" s="455">
        <f t="shared" si="17"/>
        <v>2017</v>
      </c>
      <c r="E350" s="391">
        <f>ארנונה!I8</f>
        <v>692.15557020435074</v>
      </c>
      <c r="F350" s="392"/>
      <c r="G350" s="393"/>
      <c r="H350" s="455"/>
      <c r="I350" s="391"/>
      <c r="J350" s="338" t="str">
        <f>IF(OR(E350&lt;=ארנונה!E8,'בדיקות הצלבה'!E350&gt;=ארנונה!G8),$B$3,"")</f>
        <v>תקין</v>
      </c>
      <c r="K350" s="546"/>
      <c r="L350" s="340" t="str">
        <f>IF(OR(E350&lt;=ארנונה!E8,'בדיקות הצלבה'!E350&gt;=ארנונה!G8),"",P350)</f>
        <v/>
      </c>
      <c r="M350" s="557"/>
      <c r="N350" s="282"/>
      <c r="P350" s="58" t="s">
        <v>465</v>
      </c>
    </row>
    <row r="351" spans="1:16" ht="26.25" customHeight="1" x14ac:dyDescent="0.2">
      <c r="A351" s="379">
        <v>301</v>
      </c>
      <c r="B351" s="380" t="s">
        <v>123</v>
      </c>
      <c r="C351" s="380" t="s">
        <v>452</v>
      </c>
      <c r="D351" s="455">
        <f t="shared" si="17"/>
        <v>2017</v>
      </c>
      <c r="E351" s="391">
        <f>ארנונה!I9</f>
        <v>39.881362649249837</v>
      </c>
      <c r="F351" s="392"/>
      <c r="G351" s="393"/>
      <c r="H351" s="455"/>
      <c r="I351" s="391"/>
      <c r="J351" s="338" t="str">
        <f>IF(OR(E351&lt;=ארנונה!E9,'בדיקות הצלבה'!E351&gt;=ארנונה!G9),$B$3,"")</f>
        <v>תקין</v>
      </c>
      <c r="K351" s="546"/>
      <c r="L351" s="340" t="str">
        <f>IF(OR(E351&lt;=ארנונה!E9,'בדיקות הצלבה'!E351&gt;=ארנונה!G9),"",P351)</f>
        <v/>
      </c>
      <c r="M351" s="557"/>
      <c r="N351" s="282"/>
      <c r="P351" s="58" t="s">
        <v>466</v>
      </c>
    </row>
    <row r="352" spans="1:16" ht="27.75" customHeight="1" x14ac:dyDescent="0.2">
      <c r="A352" s="379">
        <v>302</v>
      </c>
      <c r="B352" s="380" t="s">
        <v>123</v>
      </c>
      <c r="C352" s="380" t="s">
        <v>453</v>
      </c>
      <c r="D352" s="455">
        <f t="shared" si="17"/>
        <v>2017</v>
      </c>
      <c r="E352" s="391">
        <f>ארנונה!I10</f>
        <v>62.880182369404928</v>
      </c>
      <c r="F352" s="392"/>
      <c r="G352" s="393"/>
      <c r="H352" s="455"/>
      <c r="I352" s="391"/>
      <c r="J352" s="338" t="str">
        <f>IF(OR(E352&lt;=ארנונה!E10,'בדיקות הצלבה'!E352&gt;=ארנונה!G10),$B$3,"")</f>
        <v>תקין</v>
      </c>
      <c r="K352" s="546"/>
      <c r="L352" s="340" t="str">
        <f>IF(OR(E352&lt;=ארנונה!E10,'בדיקות הצלבה'!E352&gt;=ארנונה!G10),"",P352)</f>
        <v/>
      </c>
      <c r="M352" s="557"/>
      <c r="N352" s="282"/>
      <c r="P352" s="58" t="s">
        <v>467</v>
      </c>
    </row>
    <row r="353" spans="1:16" ht="23.25" customHeight="1" x14ac:dyDescent="0.2">
      <c r="A353" s="379">
        <v>303</v>
      </c>
      <c r="B353" s="380" t="s">
        <v>123</v>
      </c>
      <c r="C353" s="380" t="s">
        <v>454</v>
      </c>
      <c r="D353" s="455">
        <f t="shared" si="17"/>
        <v>2017</v>
      </c>
      <c r="E353" s="391">
        <f>ארנונה!I11</f>
        <v>57.324981452536036</v>
      </c>
      <c r="F353" s="392"/>
      <c r="G353" s="393"/>
      <c r="H353" s="455"/>
      <c r="I353" s="391"/>
      <c r="J353" s="338" t="str">
        <f>IF(OR(E353&lt;=ארנונה!E11,'בדיקות הצלבה'!E353&gt;=ארנונה!G11),$B$3,"")</f>
        <v>תקין</v>
      </c>
      <c r="K353" s="546"/>
      <c r="L353" s="340" t="str">
        <f>IF(OR(E353&lt;=ארנונה!E11,'בדיקות הצלבה'!E353&gt;=ארנונה!G11),"",P353)</f>
        <v/>
      </c>
      <c r="M353" s="557"/>
      <c r="N353" s="282"/>
      <c r="P353" s="58" t="s">
        <v>468</v>
      </c>
    </row>
    <row r="354" spans="1:16" ht="25.5" x14ac:dyDescent="0.2">
      <c r="A354" s="379">
        <v>304</v>
      </c>
      <c r="B354" s="385" t="s">
        <v>123</v>
      </c>
      <c r="C354" s="385" t="s">
        <v>455</v>
      </c>
      <c r="D354" s="455">
        <f t="shared" si="17"/>
        <v>2017</v>
      </c>
      <c r="E354" s="391">
        <f>ארנונה!I12</f>
        <v>39.686847778646154</v>
      </c>
      <c r="F354" s="392"/>
      <c r="G354" s="393"/>
      <c r="H354" s="455"/>
      <c r="I354" s="391"/>
      <c r="J354" s="338" t="str">
        <f>IF(OR(E354&lt;=ארנונה!E12,'בדיקות הצלבה'!E354&gt;=ארנונה!G12),$B$3,"")</f>
        <v>תקין</v>
      </c>
      <c r="K354" s="546"/>
      <c r="L354" s="340" t="str">
        <f>IF(OR(E354&lt;=ארנונה!E12,'בדיקות הצלבה'!E354&gt;=ארנונה!G12),"",P354)</f>
        <v/>
      </c>
      <c r="M354" s="557"/>
      <c r="N354" s="282"/>
      <c r="P354" s="58" t="s">
        <v>469</v>
      </c>
    </row>
    <row r="355" spans="1:16" ht="25.5" x14ac:dyDescent="0.2">
      <c r="A355" s="379">
        <v>305</v>
      </c>
      <c r="B355" s="385" t="s">
        <v>123</v>
      </c>
      <c r="C355" s="385" t="s">
        <v>456</v>
      </c>
      <c r="D355" s="455">
        <f t="shared" si="17"/>
        <v>2017</v>
      </c>
      <c r="E355" s="391">
        <f>ארנונה!I13</f>
        <v>1990.5842390845744</v>
      </c>
      <c r="F355" s="392"/>
      <c r="G355" s="393"/>
      <c r="H355" s="455"/>
      <c r="I355" s="391"/>
      <c r="J355" s="338" t="str">
        <f>IF(OR(E355&lt;=ארנונה!E13,'בדיקות הצלבה'!E355&gt;=ארנונה!G13),$B$3,"")</f>
        <v>תקין</v>
      </c>
      <c r="K355" s="546"/>
      <c r="L355" s="340" t="str">
        <f>IF(OR(E355&lt;=ארנונה!E13,'בדיקות הצלבה'!E355&gt;=ארנונה!G13),"",P355)</f>
        <v/>
      </c>
      <c r="M355" s="557"/>
      <c r="N355" s="282"/>
      <c r="P355" s="58" t="s">
        <v>470</v>
      </c>
    </row>
    <row r="356" spans="1:16" ht="25.5" x14ac:dyDescent="0.2">
      <c r="A356" s="379">
        <v>306</v>
      </c>
      <c r="B356" s="385" t="s">
        <v>123</v>
      </c>
      <c r="C356" s="385" t="s">
        <v>457</v>
      </c>
      <c r="D356" s="455">
        <f t="shared" si="17"/>
        <v>2017</v>
      </c>
      <c r="E356" s="391">
        <f>ארנונה!I14</f>
        <v>0</v>
      </c>
      <c r="F356" s="392"/>
      <c r="G356" s="393"/>
      <c r="H356" s="455"/>
      <c r="I356" s="391"/>
      <c r="J356" s="338" t="str">
        <f>IF(OR(E356&lt;=ארנונה!E14,'בדיקות הצלבה'!E356&gt;=ארנונה!G14),$B$3,"")</f>
        <v>תקין</v>
      </c>
      <c r="K356" s="546"/>
      <c r="L356" s="340" t="str">
        <f>IF(OR(E356&lt;=ארנונה!E14,'בדיקות הצלבה'!E356&gt;=ארנונה!G14),"",P356)</f>
        <v/>
      </c>
      <c r="M356" s="557"/>
      <c r="N356" s="282"/>
      <c r="P356" s="58" t="s">
        <v>471</v>
      </c>
    </row>
    <row r="357" spans="1:16" ht="27.75" customHeight="1" x14ac:dyDescent="0.2">
      <c r="A357" s="379">
        <v>307</v>
      </c>
      <c r="B357" s="385" t="s">
        <v>123</v>
      </c>
      <c r="C357" s="385" t="s">
        <v>458</v>
      </c>
      <c r="D357" s="455">
        <f t="shared" si="17"/>
        <v>2017</v>
      </c>
      <c r="E357" s="391">
        <f>ארנונה!I15</f>
        <v>1.1088523378303456</v>
      </c>
      <c r="F357" s="392"/>
      <c r="G357" s="393"/>
      <c r="H357" s="455"/>
      <c r="I357" s="391"/>
      <c r="J357" s="338" t="str">
        <f>IF(OR(E357&lt;=ארנונה!E15,'בדיקות הצלבה'!E357&gt;=ארנונה!G15),$B$3,"")</f>
        <v>תקין</v>
      </c>
      <c r="K357" s="546"/>
      <c r="L357" s="340" t="str">
        <f>IF(OR(E357&lt;=ארנונה!E15,'בדיקות הצלבה'!E357&gt;=ארנונה!G15),"",P357)</f>
        <v/>
      </c>
      <c r="M357" s="557"/>
      <c r="N357" s="282"/>
      <c r="P357" s="58" t="s">
        <v>472</v>
      </c>
    </row>
    <row r="358" spans="1:16" ht="25.5" x14ac:dyDescent="0.2">
      <c r="A358" s="379">
        <v>308</v>
      </c>
      <c r="B358" s="385" t="s">
        <v>123</v>
      </c>
      <c r="C358" s="385" t="s">
        <v>459</v>
      </c>
      <c r="D358" s="455">
        <f t="shared" si="17"/>
        <v>2017</v>
      </c>
      <c r="E358" s="391">
        <f>ארנונה!I16</f>
        <v>0.33837607321079183</v>
      </c>
      <c r="F358" s="392"/>
      <c r="G358" s="393"/>
      <c r="H358" s="455"/>
      <c r="I358" s="391"/>
      <c r="J358" s="338" t="str">
        <f>IF(OR(E358&lt;=ארנונה!E16,'בדיקות הצלבה'!E358&gt;=ארנונה!G16),$B$3,"")</f>
        <v>תקין</v>
      </c>
      <c r="K358" s="546"/>
      <c r="L358" s="340" t="str">
        <f>IF(OR(E358&lt;=ארנונה!E16,'בדיקות הצלבה'!E358&gt;=ארנונה!G16),"",P358)</f>
        <v/>
      </c>
      <c r="M358" s="557"/>
      <c r="N358" s="282"/>
      <c r="P358" s="58" t="s">
        <v>473</v>
      </c>
    </row>
    <row r="359" spans="1:16" ht="25.5" x14ac:dyDescent="0.2">
      <c r="A359" s="379">
        <v>309</v>
      </c>
      <c r="B359" s="389" t="s">
        <v>123</v>
      </c>
      <c r="C359" s="389" t="s">
        <v>460</v>
      </c>
      <c r="D359" s="455">
        <f t="shared" si="17"/>
        <v>2017</v>
      </c>
      <c r="E359" s="391">
        <f>ארנונה!I17</f>
        <v>0</v>
      </c>
      <c r="F359" s="392"/>
      <c r="G359" s="393"/>
      <c r="H359" s="455"/>
      <c r="I359" s="391"/>
      <c r="J359" s="338" t="str">
        <f>IF(OR(E359&lt;=ארנונה!E17,'בדיקות הצלבה'!E359&gt;=ארנונה!G17),$B$3,"")</f>
        <v>תקין</v>
      </c>
      <c r="K359" s="546"/>
      <c r="L359" s="340" t="str">
        <f>IF(OR(E359&lt;=ארנונה!E17,'בדיקות הצלבה'!E359&gt;=ארנונה!G17),"",P359)</f>
        <v/>
      </c>
      <c r="M359" s="557"/>
      <c r="N359" s="282"/>
      <c r="P359" s="58" t="s">
        <v>474</v>
      </c>
    </row>
    <row r="360" spans="1:16" ht="25.5" x14ac:dyDescent="0.2">
      <c r="A360" s="379">
        <v>310</v>
      </c>
      <c r="B360" s="389" t="s">
        <v>123</v>
      </c>
      <c r="C360" s="389" t="s">
        <v>461</v>
      </c>
      <c r="D360" s="455">
        <f t="shared" si="17"/>
        <v>2017</v>
      </c>
      <c r="E360" s="391">
        <f>ארנונה!I18</f>
        <v>66.164495114006513</v>
      </c>
      <c r="F360" s="392"/>
      <c r="G360" s="393"/>
      <c r="H360" s="455"/>
      <c r="I360" s="391"/>
      <c r="J360" s="338" t="str">
        <f>IF(OR(E360&lt;=ארנונה!E18,'בדיקות הצלבה'!E360&gt;=ארנונה!G18),$B$3,"")</f>
        <v>תקין</v>
      </c>
      <c r="K360" s="546"/>
      <c r="L360" s="340" t="str">
        <f>IF(OR(E360&lt;=ארנונה!E18,'בדיקות הצלבה'!E360&gt;=ארנונה!G18),"",P360)</f>
        <v/>
      </c>
      <c r="M360" s="557"/>
      <c r="N360" s="282"/>
      <c r="P360" s="58" t="s">
        <v>475</v>
      </c>
    </row>
    <row r="361" spans="1:16" ht="38.25" x14ac:dyDescent="0.2">
      <c r="A361" s="379">
        <v>311</v>
      </c>
      <c r="B361" s="389" t="s">
        <v>123</v>
      </c>
      <c r="C361" s="389" t="s">
        <v>462</v>
      </c>
      <c r="D361" s="455">
        <f t="shared" si="17"/>
        <v>2017</v>
      </c>
      <c r="E361" s="391">
        <f>ארנונה!I22</f>
        <v>0</v>
      </c>
      <c r="F361" s="392"/>
      <c r="G361" s="393"/>
      <c r="H361" s="455"/>
      <c r="I361" s="391"/>
      <c r="J361" s="338" t="str">
        <f>IF(OR(E361&lt;=ארנונה!E22,'בדיקות הצלבה'!E361&gt;=ארנונה!G22),$B$3,"")</f>
        <v>תקין</v>
      </c>
      <c r="K361" s="546"/>
      <c r="L361" s="340" t="str">
        <f>IF(OR(E361&lt;=ארנונה!E22,'בדיקות הצלבה'!E361&gt;=ארנונה!G22),"",P361)</f>
        <v/>
      </c>
      <c r="M361" s="557"/>
      <c r="N361" s="282"/>
      <c r="P361" s="58" t="s">
        <v>476</v>
      </c>
    </row>
    <row r="362" spans="1:16" x14ac:dyDescent="0.2">
      <c r="A362" s="379"/>
      <c r="B362" s="389"/>
      <c r="C362" s="389"/>
      <c r="D362" s="390"/>
      <c r="E362" s="391"/>
      <c r="F362" s="392"/>
      <c r="G362" s="393"/>
      <c r="H362" s="455"/>
      <c r="I362" s="391"/>
      <c r="J362" s="338"/>
      <c r="K362" s="546"/>
      <c r="L362" s="340"/>
      <c r="M362" s="557"/>
      <c r="N362" s="282"/>
    </row>
    <row r="363" spans="1:16" ht="15.75" x14ac:dyDescent="0.2">
      <c r="A363" s="359"/>
      <c r="B363" s="620" t="s">
        <v>354</v>
      </c>
      <c r="C363" s="620"/>
      <c r="D363" s="620"/>
      <c r="E363" s="620"/>
      <c r="F363" s="620"/>
      <c r="G363" s="620"/>
      <c r="H363" s="620"/>
      <c r="I363" s="620"/>
      <c r="J363" s="360"/>
      <c r="K363" s="550"/>
      <c r="L363" s="361"/>
      <c r="M363" s="372"/>
      <c r="N363" s="282"/>
    </row>
    <row r="364" spans="1:16" ht="27" customHeight="1" x14ac:dyDescent="0.2">
      <c r="A364" s="396">
        <v>312</v>
      </c>
      <c r="B364" s="397" t="s">
        <v>13</v>
      </c>
      <c r="C364" s="397" t="s">
        <v>355</v>
      </c>
      <c r="D364" s="390">
        <f t="shared" ref="D364:D415" si="18">$F$3</f>
        <v>2017</v>
      </c>
      <c r="E364" s="391">
        <f>'שכר ומשרות'!D10</f>
        <v>1</v>
      </c>
      <c r="F364" s="393" t="s">
        <v>13</v>
      </c>
      <c r="G364" s="393" t="s">
        <v>356</v>
      </c>
      <c r="H364" s="455">
        <f t="shared" ref="H364:H405" si="19">$F$3</f>
        <v>2017</v>
      </c>
      <c r="I364" s="391">
        <f>'שכר ומשרות'!F10</f>
        <v>660</v>
      </c>
      <c r="J364" s="338" t="str">
        <f t="shared" ref="J364:J405" si="20">IF(OR(AND($E364&lt;&gt;0,$I364=0),AND($I364&lt;&gt;0,$E364=0)),"",$B$3)</f>
        <v>תקין</v>
      </c>
      <c r="K364" s="546"/>
      <c r="L364" s="340" t="str">
        <f t="shared" ref="L364:L405" si="21">IF(OR(AND($E364&lt;&gt;0,$I364=0),AND($I364&lt;&gt;0,$E364=0)),P364,"")</f>
        <v/>
      </c>
      <c r="M364" s="557"/>
      <c r="N364" s="282"/>
      <c r="P364" s="42" t="s">
        <v>357</v>
      </c>
    </row>
    <row r="365" spans="1:16" x14ac:dyDescent="0.2">
      <c r="A365" s="396">
        <v>313</v>
      </c>
      <c r="B365" s="397" t="s">
        <v>13</v>
      </c>
      <c r="C365" s="397" t="s">
        <v>358</v>
      </c>
      <c r="D365" s="390">
        <f t="shared" si="18"/>
        <v>2017</v>
      </c>
      <c r="E365" s="391">
        <f>'שכר ומשרות'!D11</f>
        <v>9.5</v>
      </c>
      <c r="F365" s="393" t="s">
        <v>13</v>
      </c>
      <c r="G365" s="393" t="s">
        <v>359</v>
      </c>
      <c r="H365" s="455">
        <f t="shared" si="19"/>
        <v>2017</v>
      </c>
      <c r="I365" s="391">
        <f>'שכר ומשרות'!F11</f>
        <v>1720</v>
      </c>
      <c r="J365" s="338" t="str">
        <f t="shared" si="20"/>
        <v>תקין</v>
      </c>
      <c r="K365" s="546"/>
      <c r="L365" s="340" t="str">
        <f t="shared" si="21"/>
        <v/>
      </c>
      <c r="M365" s="558"/>
      <c r="N365" s="282"/>
      <c r="P365" s="42" t="s">
        <v>357</v>
      </c>
    </row>
    <row r="366" spans="1:16" x14ac:dyDescent="0.2">
      <c r="A366" s="396">
        <v>314</v>
      </c>
      <c r="B366" s="397" t="s">
        <v>13</v>
      </c>
      <c r="C366" s="397" t="s">
        <v>360</v>
      </c>
      <c r="D366" s="390">
        <f t="shared" si="18"/>
        <v>2017</v>
      </c>
      <c r="E366" s="391">
        <f>'שכר ומשרות'!D12</f>
        <v>5</v>
      </c>
      <c r="F366" s="393" t="s">
        <v>13</v>
      </c>
      <c r="G366" s="393" t="s">
        <v>361</v>
      </c>
      <c r="H366" s="455">
        <f t="shared" si="19"/>
        <v>2017</v>
      </c>
      <c r="I366" s="391">
        <f>'שכר ומשרות'!F12</f>
        <v>1024</v>
      </c>
      <c r="J366" s="338" t="str">
        <f t="shared" si="20"/>
        <v>תקין</v>
      </c>
      <c r="K366" s="546"/>
      <c r="L366" s="340" t="str">
        <f t="shared" si="21"/>
        <v/>
      </c>
      <c r="M366" s="558"/>
      <c r="N366" s="282"/>
      <c r="P366" s="42" t="s">
        <v>357</v>
      </c>
    </row>
    <row r="367" spans="1:16" x14ac:dyDescent="0.2">
      <c r="A367" s="396">
        <v>315</v>
      </c>
      <c r="B367" s="397" t="s">
        <v>13</v>
      </c>
      <c r="C367" s="397" t="s">
        <v>362</v>
      </c>
      <c r="D367" s="390">
        <f t="shared" si="18"/>
        <v>2017</v>
      </c>
      <c r="E367" s="391">
        <f>'שכר ומשרות'!D15</f>
        <v>17.100000000000001</v>
      </c>
      <c r="F367" s="393" t="s">
        <v>13</v>
      </c>
      <c r="G367" s="393" t="s">
        <v>363</v>
      </c>
      <c r="H367" s="455">
        <f t="shared" si="19"/>
        <v>2017</v>
      </c>
      <c r="I367" s="391">
        <f>'שכר ומשרות'!F15</f>
        <v>4595</v>
      </c>
      <c r="J367" s="338" t="str">
        <f t="shared" si="20"/>
        <v>תקין</v>
      </c>
      <c r="K367" s="546"/>
      <c r="L367" s="340" t="str">
        <f t="shared" si="21"/>
        <v/>
      </c>
      <c r="M367" s="558"/>
      <c r="N367" s="282"/>
      <c r="P367" s="42" t="s">
        <v>357</v>
      </c>
    </row>
    <row r="368" spans="1:16" ht="27.75" customHeight="1" x14ac:dyDescent="0.2">
      <c r="A368" s="396">
        <v>316</v>
      </c>
      <c r="B368" s="397" t="s">
        <v>13</v>
      </c>
      <c r="C368" s="397" t="s">
        <v>364</v>
      </c>
      <c r="D368" s="390">
        <f t="shared" si="18"/>
        <v>2017</v>
      </c>
      <c r="E368" s="391">
        <f>'שכר ומשרות'!D16</f>
        <v>1</v>
      </c>
      <c r="F368" s="393" t="s">
        <v>13</v>
      </c>
      <c r="G368" s="393" t="s">
        <v>365</v>
      </c>
      <c r="H368" s="455">
        <f t="shared" si="19"/>
        <v>2017</v>
      </c>
      <c r="I368" s="391">
        <f>'שכר ומשרות'!F16</f>
        <v>190</v>
      </c>
      <c r="J368" s="338" t="str">
        <f t="shared" si="20"/>
        <v>תקין</v>
      </c>
      <c r="K368" s="546"/>
      <c r="L368" s="340" t="str">
        <f t="shared" si="21"/>
        <v/>
      </c>
      <c r="M368" s="558"/>
      <c r="N368" s="282"/>
      <c r="P368" s="42" t="s">
        <v>357</v>
      </c>
    </row>
    <row r="369" spans="1:16" ht="24" customHeight="1" x14ac:dyDescent="0.2">
      <c r="A369" s="396">
        <v>317</v>
      </c>
      <c r="B369" s="397" t="s">
        <v>13</v>
      </c>
      <c r="C369" s="397" t="s">
        <v>366</v>
      </c>
      <c r="D369" s="390">
        <f t="shared" si="18"/>
        <v>2017</v>
      </c>
      <c r="E369" s="391">
        <f>'שכר ומשרות'!D17</f>
        <v>6.25</v>
      </c>
      <c r="F369" s="393" t="s">
        <v>13</v>
      </c>
      <c r="G369" s="393" t="s">
        <v>367</v>
      </c>
      <c r="H369" s="455">
        <f t="shared" si="19"/>
        <v>2017</v>
      </c>
      <c r="I369" s="391">
        <f>'שכר ומשרות'!F17</f>
        <v>1386</v>
      </c>
      <c r="J369" s="338" t="str">
        <f t="shared" si="20"/>
        <v>תקין</v>
      </c>
      <c r="K369" s="546"/>
      <c r="L369" s="340" t="str">
        <f t="shared" si="21"/>
        <v/>
      </c>
      <c r="M369" s="558"/>
      <c r="N369" s="282"/>
      <c r="P369" s="42" t="s">
        <v>357</v>
      </c>
    </row>
    <row r="370" spans="1:16" ht="23.25" customHeight="1" x14ac:dyDescent="0.2">
      <c r="A370" s="396">
        <v>318</v>
      </c>
      <c r="B370" s="397" t="s">
        <v>13</v>
      </c>
      <c r="C370" s="397" t="s">
        <v>368</v>
      </c>
      <c r="D370" s="390">
        <f t="shared" si="18"/>
        <v>2017</v>
      </c>
      <c r="E370" s="391">
        <f>'שכר ומשרות'!D18</f>
        <v>2</v>
      </c>
      <c r="F370" s="393" t="s">
        <v>13</v>
      </c>
      <c r="G370" s="393" t="s">
        <v>369</v>
      </c>
      <c r="H370" s="455">
        <f t="shared" si="19"/>
        <v>2017</v>
      </c>
      <c r="I370" s="391">
        <f>'שכר ומשרות'!F18</f>
        <v>496</v>
      </c>
      <c r="J370" s="338" t="str">
        <f t="shared" si="20"/>
        <v>תקין</v>
      </c>
      <c r="K370" s="546"/>
      <c r="L370" s="340" t="str">
        <f t="shared" si="21"/>
        <v/>
      </c>
      <c r="M370" s="558"/>
      <c r="N370" s="282"/>
      <c r="P370" s="42" t="s">
        <v>357</v>
      </c>
    </row>
    <row r="371" spans="1:16" ht="24" customHeight="1" x14ac:dyDescent="0.2">
      <c r="A371" s="396">
        <v>319</v>
      </c>
      <c r="B371" s="397" t="s">
        <v>13</v>
      </c>
      <c r="C371" s="397" t="s">
        <v>370</v>
      </c>
      <c r="D371" s="390">
        <f t="shared" si="18"/>
        <v>2017</v>
      </c>
      <c r="E371" s="391">
        <f>'שכר ומשרות'!D20</f>
        <v>1</v>
      </c>
      <c r="F371" s="393" t="s">
        <v>13</v>
      </c>
      <c r="G371" s="393" t="s">
        <v>371</v>
      </c>
      <c r="H371" s="455">
        <f t="shared" si="19"/>
        <v>2017</v>
      </c>
      <c r="I371" s="391">
        <f>'שכר ומשרות'!F20</f>
        <v>130</v>
      </c>
      <c r="J371" s="338" t="str">
        <f t="shared" si="20"/>
        <v>תקין</v>
      </c>
      <c r="K371" s="546"/>
      <c r="L371" s="340" t="str">
        <f t="shared" si="21"/>
        <v/>
      </c>
      <c r="M371" s="558"/>
      <c r="N371" s="282"/>
      <c r="P371" s="42" t="s">
        <v>357</v>
      </c>
    </row>
    <row r="372" spans="1:16" ht="27" customHeight="1" x14ac:dyDescent="0.2">
      <c r="A372" s="396">
        <v>320</v>
      </c>
      <c r="B372" s="397" t="s">
        <v>13</v>
      </c>
      <c r="C372" s="397" t="s">
        <v>372</v>
      </c>
      <c r="D372" s="390">
        <f t="shared" si="18"/>
        <v>2017</v>
      </c>
      <c r="E372" s="391">
        <f>'שכר ומשרות'!D21</f>
        <v>0.4</v>
      </c>
      <c r="F372" s="393" t="s">
        <v>13</v>
      </c>
      <c r="G372" s="393" t="s">
        <v>373</v>
      </c>
      <c r="H372" s="455">
        <f t="shared" si="19"/>
        <v>2017</v>
      </c>
      <c r="I372" s="391">
        <f>'שכר ומשרות'!F21</f>
        <v>77</v>
      </c>
      <c r="J372" s="338" t="str">
        <f t="shared" si="20"/>
        <v>תקין</v>
      </c>
      <c r="K372" s="546"/>
      <c r="L372" s="340" t="str">
        <f t="shared" si="21"/>
        <v/>
      </c>
      <c r="M372" s="558"/>
      <c r="N372" s="282"/>
      <c r="P372" s="42" t="s">
        <v>357</v>
      </c>
    </row>
    <row r="373" spans="1:16" ht="23.25" customHeight="1" x14ac:dyDescent="0.2">
      <c r="A373" s="396">
        <v>321</v>
      </c>
      <c r="B373" s="397" t="s">
        <v>13</v>
      </c>
      <c r="C373" s="397" t="s">
        <v>374</v>
      </c>
      <c r="D373" s="390">
        <f t="shared" si="18"/>
        <v>2017</v>
      </c>
      <c r="E373" s="391">
        <f>'שכר ומשרות'!D24</f>
        <v>172.1</v>
      </c>
      <c r="F373" s="393" t="s">
        <v>13</v>
      </c>
      <c r="G373" s="393" t="s">
        <v>375</v>
      </c>
      <c r="H373" s="455">
        <f t="shared" si="19"/>
        <v>2017</v>
      </c>
      <c r="I373" s="391">
        <f>'שכר ומשרות'!F24</f>
        <v>33706</v>
      </c>
      <c r="J373" s="338" t="str">
        <f t="shared" si="20"/>
        <v>תקין</v>
      </c>
      <c r="K373" s="546"/>
      <c r="L373" s="340" t="str">
        <f t="shared" si="21"/>
        <v/>
      </c>
      <c r="M373" s="558"/>
      <c r="N373" s="282"/>
      <c r="P373" s="42" t="s">
        <v>357</v>
      </c>
    </row>
    <row r="374" spans="1:16" ht="23.25" customHeight="1" x14ac:dyDescent="0.2">
      <c r="A374" s="396">
        <v>322</v>
      </c>
      <c r="B374" s="397" t="s">
        <v>13</v>
      </c>
      <c r="C374" s="397" t="s">
        <v>376</v>
      </c>
      <c r="D374" s="390">
        <f t="shared" si="18"/>
        <v>2017</v>
      </c>
      <c r="E374" s="391">
        <f>'שכר ומשרות'!D25</f>
        <v>40.6</v>
      </c>
      <c r="F374" s="393" t="s">
        <v>13</v>
      </c>
      <c r="G374" s="393" t="s">
        <v>377</v>
      </c>
      <c r="H374" s="455">
        <f t="shared" si="19"/>
        <v>2017</v>
      </c>
      <c r="I374" s="391">
        <f>'שכר ומשרות'!F25</f>
        <v>5316</v>
      </c>
      <c r="J374" s="338" t="str">
        <f t="shared" si="20"/>
        <v>תקין</v>
      </c>
      <c r="K374" s="546"/>
      <c r="L374" s="340" t="str">
        <f t="shared" si="21"/>
        <v/>
      </c>
      <c r="M374" s="558"/>
      <c r="N374" s="282"/>
      <c r="P374" s="42" t="s">
        <v>357</v>
      </c>
    </row>
    <row r="375" spans="1:16" ht="23.25" customHeight="1" x14ac:dyDescent="0.2">
      <c r="A375" s="396">
        <v>323</v>
      </c>
      <c r="B375" s="397" t="s">
        <v>13</v>
      </c>
      <c r="C375" s="397" t="s">
        <v>378</v>
      </c>
      <c r="D375" s="390">
        <f t="shared" si="18"/>
        <v>2017</v>
      </c>
      <c r="E375" s="391">
        <f>'שכר ומשרות'!D26</f>
        <v>2.7</v>
      </c>
      <c r="F375" s="393" t="s">
        <v>13</v>
      </c>
      <c r="G375" s="393" t="s">
        <v>379</v>
      </c>
      <c r="H375" s="455">
        <f t="shared" si="19"/>
        <v>2017</v>
      </c>
      <c r="I375" s="391">
        <f>'שכר ומשרות'!F26</f>
        <v>459</v>
      </c>
      <c r="J375" s="338" t="str">
        <f t="shared" si="20"/>
        <v>תקין</v>
      </c>
      <c r="K375" s="546"/>
      <c r="L375" s="340" t="str">
        <f t="shared" si="21"/>
        <v/>
      </c>
      <c r="M375" s="558"/>
      <c r="N375" s="282"/>
      <c r="P375" s="42" t="s">
        <v>357</v>
      </c>
    </row>
    <row r="376" spans="1:16" ht="23.25" customHeight="1" x14ac:dyDescent="0.2">
      <c r="A376" s="396">
        <v>324</v>
      </c>
      <c r="B376" s="397" t="s">
        <v>13</v>
      </c>
      <c r="C376" s="397" t="s">
        <v>380</v>
      </c>
      <c r="D376" s="390">
        <f t="shared" si="18"/>
        <v>2017</v>
      </c>
      <c r="E376" s="391">
        <f>'שכר ומשרות'!D27</f>
        <v>11.2</v>
      </c>
      <c r="F376" s="393" t="s">
        <v>13</v>
      </c>
      <c r="G376" s="393" t="s">
        <v>381</v>
      </c>
      <c r="H376" s="455">
        <f t="shared" si="19"/>
        <v>2017</v>
      </c>
      <c r="I376" s="391">
        <f>'שכר ומשרות'!F27</f>
        <v>2210</v>
      </c>
      <c r="J376" s="338" t="str">
        <f t="shared" si="20"/>
        <v>תקין</v>
      </c>
      <c r="K376" s="546"/>
      <c r="L376" s="340" t="str">
        <f t="shared" si="21"/>
        <v/>
      </c>
      <c r="M376" s="558"/>
      <c r="N376" s="282"/>
      <c r="P376" s="42" t="s">
        <v>357</v>
      </c>
    </row>
    <row r="377" spans="1:16" ht="23.25" customHeight="1" x14ac:dyDescent="0.2">
      <c r="A377" s="396">
        <v>325</v>
      </c>
      <c r="B377" s="397" t="s">
        <v>13</v>
      </c>
      <c r="C377" s="397" t="s">
        <v>382</v>
      </c>
      <c r="D377" s="390">
        <f t="shared" si="18"/>
        <v>2017</v>
      </c>
      <c r="E377" s="391">
        <f>'שכר ומשרות'!D28</f>
        <v>0</v>
      </c>
      <c r="F377" s="393" t="s">
        <v>13</v>
      </c>
      <c r="G377" s="393" t="s">
        <v>383</v>
      </c>
      <c r="H377" s="455">
        <f t="shared" si="19"/>
        <v>2017</v>
      </c>
      <c r="I377" s="391">
        <f>'שכר ומשרות'!F28</f>
        <v>0</v>
      </c>
      <c r="J377" s="338" t="str">
        <f t="shared" si="20"/>
        <v>תקין</v>
      </c>
      <c r="K377" s="546"/>
      <c r="L377" s="340" t="str">
        <f t="shared" si="21"/>
        <v/>
      </c>
      <c r="M377" s="558"/>
      <c r="N377" s="282"/>
      <c r="P377" s="42" t="s">
        <v>357</v>
      </c>
    </row>
    <row r="378" spans="1:16" ht="23.25" customHeight="1" x14ac:dyDescent="0.2">
      <c r="A378" s="396">
        <v>326</v>
      </c>
      <c r="B378" s="397" t="s">
        <v>13</v>
      </c>
      <c r="C378" s="397" t="s">
        <v>384</v>
      </c>
      <c r="D378" s="390">
        <f t="shared" si="18"/>
        <v>2017</v>
      </c>
      <c r="E378" s="391">
        <f>'שכר ומשרות'!D29</f>
        <v>1.6</v>
      </c>
      <c r="F378" s="393" t="s">
        <v>13</v>
      </c>
      <c r="G378" s="393" t="s">
        <v>385</v>
      </c>
      <c r="H378" s="455">
        <f t="shared" si="19"/>
        <v>2017</v>
      </c>
      <c r="I378" s="391">
        <f>'שכר ומשרות'!F29</f>
        <v>240</v>
      </c>
      <c r="J378" s="338" t="str">
        <f t="shared" si="20"/>
        <v>תקין</v>
      </c>
      <c r="K378" s="546"/>
      <c r="L378" s="340" t="str">
        <f t="shared" si="21"/>
        <v/>
      </c>
      <c r="M378" s="558"/>
      <c r="N378" s="282"/>
      <c r="P378" s="42" t="s">
        <v>357</v>
      </c>
    </row>
    <row r="379" spans="1:16" ht="23.25" customHeight="1" x14ac:dyDescent="0.2">
      <c r="A379" s="396">
        <v>327</v>
      </c>
      <c r="B379" s="397" t="s">
        <v>13</v>
      </c>
      <c r="C379" s="397" t="s">
        <v>386</v>
      </c>
      <c r="D379" s="390">
        <f t="shared" si="18"/>
        <v>2017</v>
      </c>
      <c r="E379" s="391">
        <f>'שכר ומשרות'!D30</f>
        <v>0</v>
      </c>
      <c r="F379" s="393" t="s">
        <v>13</v>
      </c>
      <c r="G379" s="393" t="s">
        <v>387</v>
      </c>
      <c r="H379" s="455">
        <f t="shared" si="19"/>
        <v>2017</v>
      </c>
      <c r="I379" s="391">
        <f>'שכר ומשרות'!F30</f>
        <v>0</v>
      </c>
      <c r="J379" s="338" t="str">
        <f t="shared" si="20"/>
        <v>תקין</v>
      </c>
      <c r="K379" s="546"/>
      <c r="L379" s="340" t="str">
        <f t="shared" si="21"/>
        <v/>
      </c>
      <c r="M379" s="558"/>
      <c r="N379" s="282"/>
      <c r="P379" s="42" t="s">
        <v>357</v>
      </c>
    </row>
    <row r="380" spans="1:16" ht="23.25" customHeight="1" x14ac:dyDescent="0.2">
      <c r="A380" s="396">
        <v>328</v>
      </c>
      <c r="B380" s="397" t="s">
        <v>13</v>
      </c>
      <c r="C380" s="397" t="s">
        <v>388</v>
      </c>
      <c r="D380" s="390">
        <f t="shared" si="18"/>
        <v>2017</v>
      </c>
      <c r="E380" s="391">
        <f>'שכר ומשרות'!D33</f>
        <v>0</v>
      </c>
      <c r="F380" s="393" t="s">
        <v>13</v>
      </c>
      <c r="G380" s="393" t="s">
        <v>389</v>
      </c>
      <c r="H380" s="455">
        <f t="shared" si="19"/>
        <v>2017</v>
      </c>
      <c r="I380" s="391">
        <f>'שכר ומשרות'!F33</f>
        <v>0</v>
      </c>
      <c r="J380" s="338" t="str">
        <f t="shared" si="20"/>
        <v>תקין</v>
      </c>
      <c r="K380" s="546"/>
      <c r="L380" s="340" t="str">
        <f t="shared" si="21"/>
        <v/>
      </c>
      <c r="M380" s="558"/>
      <c r="N380" s="282"/>
      <c r="P380" s="42" t="s">
        <v>357</v>
      </c>
    </row>
    <row r="381" spans="1:16" ht="23.25" customHeight="1" x14ac:dyDescent="0.2">
      <c r="A381" s="396">
        <v>329</v>
      </c>
      <c r="B381" s="397" t="s">
        <v>13</v>
      </c>
      <c r="C381" s="397" t="s">
        <v>390</v>
      </c>
      <c r="D381" s="390">
        <f t="shared" si="18"/>
        <v>2017</v>
      </c>
      <c r="E381" s="391">
        <f>'שכר ומשרות'!D34</f>
        <v>0</v>
      </c>
      <c r="F381" s="393" t="s">
        <v>13</v>
      </c>
      <c r="G381" s="393" t="s">
        <v>391</v>
      </c>
      <c r="H381" s="455">
        <f t="shared" si="19"/>
        <v>2017</v>
      </c>
      <c r="I381" s="391">
        <f>'שכר ומשרות'!F34</f>
        <v>0</v>
      </c>
      <c r="J381" s="338" t="str">
        <f t="shared" si="20"/>
        <v>תקין</v>
      </c>
      <c r="K381" s="546"/>
      <c r="L381" s="340" t="str">
        <f t="shared" si="21"/>
        <v/>
      </c>
      <c r="M381" s="558"/>
      <c r="N381" s="282"/>
      <c r="P381" s="42" t="s">
        <v>357</v>
      </c>
    </row>
    <row r="382" spans="1:16" ht="23.25" customHeight="1" x14ac:dyDescent="0.2">
      <c r="A382" s="396">
        <v>330</v>
      </c>
      <c r="B382" s="397" t="s">
        <v>13</v>
      </c>
      <c r="C382" s="397" t="s">
        <v>392</v>
      </c>
      <c r="D382" s="390">
        <f t="shared" si="18"/>
        <v>2017</v>
      </c>
      <c r="E382" s="391">
        <f>'שכר ומשרות'!D36</f>
        <v>12</v>
      </c>
      <c r="F382" s="393" t="s">
        <v>13</v>
      </c>
      <c r="G382" s="393" t="s">
        <v>393</v>
      </c>
      <c r="H382" s="455">
        <f t="shared" si="19"/>
        <v>2017</v>
      </c>
      <c r="I382" s="391">
        <f>'שכר ומשרות'!F36</f>
        <v>2360</v>
      </c>
      <c r="J382" s="338" t="str">
        <f t="shared" si="20"/>
        <v>תקין</v>
      </c>
      <c r="K382" s="546"/>
      <c r="L382" s="340" t="str">
        <f t="shared" si="21"/>
        <v/>
      </c>
      <c r="M382" s="558"/>
      <c r="N382" s="282"/>
      <c r="P382" s="42" t="s">
        <v>357</v>
      </c>
    </row>
    <row r="383" spans="1:16" ht="23.25" customHeight="1" x14ac:dyDescent="0.2">
      <c r="A383" s="396">
        <v>331</v>
      </c>
      <c r="B383" s="397" t="s">
        <v>13</v>
      </c>
      <c r="C383" s="397" t="s">
        <v>394</v>
      </c>
      <c r="D383" s="390">
        <f t="shared" si="18"/>
        <v>2017</v>
      </c>
      <c r="E383" s="391">
        <f>'שכר ומשרות'!D37</f>
        <v>1</v>
      </c>
      <c r="F383" s="393" t="s">
        <v>13</v>
      </c>
      <c r="G383" s="393" t="s">
        <v>398</v>
      </c>
      <c r="H383" s="455">
        <f t="shared" si="19"/>
        <v>2017</v>
      </c>
      <c r="I383" s="391">
        <f>'שכר ומשרות'!F37</f>
        <v>130</v>
      </c>
      <c r="J383" s="338" t="str">
        <f t="shared" si="20"/>
        <v>תקין</v>
      </c>
      <c r="K383" s="546"/>
      <c r="L383" s="340" t="str">
        <f t="shared" si="21"/>
        <v/>
      </c>
      <c r="M383" s="558"/>
      <c r="N383" s="282"/>
      <c r="P383" s="42" t="s">
        <v>357</v>
      </c>
    </row>
    <row r="384" spans="1:16" ht="23.25" customHeight="1" x14ac:dyDescent="0.2">
      <c r="A384" s="396">
        <v>332</v>
      </c>
      <c r="B384" s="397" t="s">
        <v>13</v>
      </c>
      <c r="C384" s="397" t="s">
        <v>399</v>
      </c>
      <c r="D384" s="390">
        <f t="shared" si="18"/>
        <v>2017</v>
      </c>
      <c r="E384" s="391">
        <f>'שכר ומשרות'!D41</f>
        <v>37.5</v>
      </c>
      <c r="F384" s="393" t="s">
        <v>13</v>
      </c>
      <c r="G384" s="393" t="s">
        <v>400</v>
      </c>
      <c r="H384" s="455">
        <f t="shared" si="19"/>
        <v>2017</v>
      </c>
      <c r="I384" s="391">
        <f>'שכר ומשרות'!F41</f>
        <v>5272</v>
      </c>
      <c r="J384" s="338" t="str">
        <f t="shared" si="20"/>
        <v>תקין</v>
      </c>
      <c r="K384" s="546"/>
      <c r="L384" s="340" t="str">
        <f t="shared" si="21"/>
        <v/>
      </c>
      <c r="M384" s="558"/>
      <c r="N384" s="282"/>
      <c r="P384" s="42" t="s">
        <v>357</v>
      </c>
    </row>
    <row r="385" spans="1:16" ht="27" customHeight="1" x14ac:dyDescent="0.2">
      <c r="A385" s="396">
        <v>339</v>
      </c>
      <c r="B385" s="397" t="s">
        <v>13</v>
      </c>
      <c r="C385" s="397" t="s">
        <v>401</v>
      </c>
      <c r="D385" s="390">
        <f t="shared" si="18"/>
        <v>2017</v>
      </c>
      <c r="E385" s="391">
        <f>'שכר ומשרות'!J10</f>
        <v>1</v>
      </c>
      <c r="F385" s="393" t="s">
        <v>13</v>
      </c>
      <c r="G385" s="393" t="s">
        <v>405</v>
      </c>
      <c r="H385" s="455">
        <f t="shared" si="19"/>
        <v>2017</v>
      </c>
      <c r="I385" s="391">
        <f>'שכר ומשרות'!L10</f>
        <v>165</v>
      </c>
      <c r="J385" s="338" t="str">
        <f t="shared" si="20"/>
        <v>תקין</v>
      </c>
      <c r="K385" s="546"/>
      <c r="L385" s="340" t="str">
        <f t="shared" si="21"/>
        <v/>
      </c>
      <c r="M385" s="558"/>
      <c r="N385" s="282"/>
      <c r="P385" s="42" t="s">
        <v>357</v>
      </c>
    </row>
    <row r="386" spans="1:16" x14ac:dyDescent="0.2">
      <c r="A386" s="396">
        <v>340</v>
      </c>
      <c r="B386" s="397" t="s">
        <v>13</v>
      </c>
      <c r="C386" s="397" t="s">
        <v>406</v>
      </c>
      <c r="D386" s="390">
        <f t="shared" si="18"/>
        <v>2017</v>
      </c>
      <c r="E386" s="391">
        <f>'שכר ומשרות'!J11</f>
        <v>8.5</v>
      </c>
      <c r="F386" s="393" t="s">
        <v>13</v>
      </c>
      <c r="G386" s="393" t="s">
        <v>407</v>
      </c>
      <c r="H386" s="455">
        <f t="shared" si="19"/>
        <v>2017</v>
      </c>
      <c r="I386" s="391">
        <f>'שכר ומשרות'!L11</f>
        <v>449</v>
      </c>
      <c r="J386" s="338" t="str">
        <f t="shared" si="20"/>
        <v>תקין</v>
      </c>
      <c r="K386" s="546"/>
      <c r="L386" s="340" t="str">
        <f t="shared" si="21"/>
        <v/>
      </c>
      <c r="M386" s="558"/>
      <c r="N386" s="282"/>
      <c r="P386" s="42" t="s">
        <v>357</v>
      </c>
    </row>
    <row r="387" spans="1:16" x14ac:dyDescent="0.2">
      <c r="A387" s="396">
        <v>341</v>
      </c>
      <c r="B387" s="397" t="s">
        <v>13</v>
      </c>
      <c r="C387" s="397" t="s">
        <v>408</v>
      </c>
      <c r="D387" s="390">
        <f t="shared" si="18"/>
        <v>2017</v>
      </c>
      <c r="E387" s="391">
        <f>'שכר ומשרות'!J12</f>
        <v>4.82</v>
      </c>
      <c r="F387" s="393" t="s">
        <v>13</v>
      </c>
      <c r="G387" s="393" t="s">
        <v>409</v>
      </c>
      <c r="H387" s="455">
        <f t="shared" si="19"/>
        <v>2017</v>
      </c>
      <c r="I387" s="391">
        <f>'שכר ומשרות'!L12</f>
        <v>308</v>
      </c>
      <c r="J387" s="338" t="str">
        <f t="shared" si="20"/>
        <v>תקין</v>
      </c>
      <c r="K387" s="546"/>
      <c r="L387" s="340" t="str">
        <f t="shared" si="21"/>
        <v/>
      </c>
      <c r="M387" s="558"/>
      <c r="N387" s="282"/>
      <c r="P387" s="42" t="s">
        <v>357</v>
      </c>
    </row>
    <row r="388" spans="1:16" x14ac:dyDescent="0.2">
      <c r="A388" s="396">
        <v>342</v>
      </c>
      <c r="B388" s="397" t="s">
        <v>13</v>
      </c>
      <c r="C388" s="397" t="s">
        <v>410</v>
      </c>
      <c r="D388" s="390">
        <f t="shared" si="18"/>
        <v>2017</v>
      </c>
      <c r="E388" s="391">
        <f>'שכר ומשרות'!J15</f>
        <v>16</v>
      </c>
      <c r="F388" s="393" t="s">
        <v>13</v>
      </c>
      <c r="G388" s="393" t="s">
        <v>411</v>
      </c>
      <c r="H388" s="455">
        <f t="shared" si="19"/>
        <v>2017</v>
      </c>
      <c r="I388" s="391">
        <f>'שכר ומשרות'!L15</f>
        <v>1060</v>
      </c>
      <c r="J388" s="338" t="str">
        <f t="shared" si="20"/>
        <v>תקין</v>
      </c>
      <c r="K388" s="546"/>
      <c r="L388" s="340" t="str">
        <f t="shared" si="21"/>
        <v/>
      </c>
      <c r="M388" s="558"/>
      <c r="N388" s="282"/>
      <c r="P388" s="42" t="s">
        <v>357</v>
      </c>
    </row>
    <row r="389" spans="1:16" ht="27.75" customHeight="1" x14ac:dyDescent="0.2">
      <c r="A389" s="396">
        <v>343</v>
      </c>
      <c r="B389" s="397" t="s">
        <v>13</v>
      </c>
      <c r="C389" s="397" t="s">
        <v>412</v>
      </c>
      <c r="D389" s="390">
        <f t="shared" si="18"/>
        <v>2017</v>
      </c>
      <c r="E389" s="391">
        <f>'שכר ומשרות'!J16</f>
        <v>1</v>
      </c>
      <c r="F389" s="393" t="s">
        <v>13</v>
      </c>
      <c r="G389" s="393" t="s">
        <v>413</v>
      </c>
      <c r="H389" s="455">
        <f t="shared" si="19"/>
        <v>2017</v>
      </c>
      <c r="I389" s="391">
        <f>'שכר ומשרות'!L16</f>
        <v>44</v>
      </c>
      <c r="J389" s="338" t="str">
        <f t="shared" si="20"/>
        <v>תקין</v>
      </c>
      <c r="K389" s="546"/>
      <c r="L389" s="340" t="str">
        <f t="shared" si="21"/>
        <v/>
      </c>
      <c r="M389" s="558"/>
      <c r="N389" s="282"/>
      <c r="P389" s="42" t="s">
        <v>357</v>
      </c>
    </row>
    <row r="390" spans="1:16" ht="24" customHeight="1" x14ac:dyDescent="0.2">
      <c r="A390" s="396">
        <v>344</v>
      </c>
      <c r="B390" s="397" t="s">
        <v>13</v>
      </c>
      <c r="C390" s="397" t="s">
        <v>414</v>
      </c>
      <c r="D390" s="390">
        <f t="shared" si="18"/>
        <v>2017</v>
      </c>
      <c r="E390" s="391">
        <f>'שכר ומשרות'!J17</f>
        <v>6.27</v>
      </c>
      <c r="F390" s="393" t="s">
        <v>13</v>
      </c>
      <c r="G390" s="393" t="s">
        <v>415</v>
      </c>
      <c r="H390" s="455">
        <f t="shared" si="19"/>
        <v>2017</v>
      </c>
      <c r="I390" s="391">
        <f>'שכר ומשרות'!L17</f>
        <v>313</v>
      </c>
      <c r="J390" s="338" t="str">
        <f t="shared" si="20"/>
        <v>תקין</v>
      </c>
      <c r="K390" s="546"/>
      <c r="L390" s="340" t="str">
        <f t="shared" si="21"/>
        <v/>
      </c>
      <c r="M390" s="558"/>
      <c r="N390" s="282"/>
      <c r="P390" s="42" t="s">
        <v>357</v>
      </c>
    </row>
    <row r="391" spans="1:16" ht="23.25" customHeight="1" x14ac:dyDescent="0.2">
      <c r="A391" s="396">
        <v>345</v>
      </c>
      <c r="B391" s="397" t="s">
        <v>13</v>
      </c>
      <c r="C391" s="397" t="s">
        <v>416</v>
      </c>
      <c r="D391" s="390">
        <f t="shared" si="18"/>
        <v>2017</v>
      </c>
      <c r="E391" s="391">
        <f>'שכר ומשרות'!J18</f>
        <v>2</v>
      </c>
      <c r="F391" s="393" t="s">
        <v>13</v>
      </c>
      <c r="G391" s="393" t="s">
        <v>417</v>
      </c>
      <c r="H391" s="455">
        <f t="shared" si="19"/>
        <v>2017</v>
      </c>
      <c r="I391" s="391">
        <f>'שכר ומשרות'!L18</f>
        <v>116</v>
      </c>
      <c r="J391" s="338" t="str">
        <f t="shared" si="20"/>
        <v>תקין</v>
      </c>
      <c r="K391" s="546"/>
      <c r="L391" s="340" t="str">
        <f t="shared" si="21"/>
        <v/>
      </c>
      <c r="M391" s="558"/>
      <c r="N391" s="282"/>
      <c r="P391" s="42" t="s">
        <v>357</v>
      </c>
    </row>
    <row r="392" spans="1:16" ht="24" customHeight="1" x14ac:dyDescent="0.2">
      <c r="A392" s="396">
        <v>346</v>
      </c>
      <c r="B392" s="397" t="s">
        <v>13</v>
      </c>
      <c r="C392" s="397" t="s">
        <v>418</v>
      </c>
      <c r="D392" s="390">
        <f t="shared" si="18"/>
        <v>2017</v>
      </c>
      <c r="E392" s="391">
        <f>'שכר ומשרות'!J20</f>
        <v>1</v>
      </c>
      <c r="F392" s="393" t="s">
        <v>13</v>
      </c>
      <c r="G392" s="393" t="s">
        <v>419</v>
      </c>
      <c r="H392" s="455">
        <f t="shared" si="19"/>
        <v>2017</v>
      </c>
      <c r="I392" s="391">
        <f>'שכר ומשרות'!L20</f>
        <v>31</v>
      </c>
      <c r="J392" s="338" t="str">
        <f t="shared" si="20"/>
        <v>תקין</v>
      </c>
      <c r="K392" s="546"/>
      <c r="L392" s="340" t="str">
        <f t="shared" si="21"/>
        <v/>
      </c>
      <c r="M392" s="558"/>
      <c r="N392" s="282"/>
      <c r="P392" s="42" t="s">
        <v>357</v>
      </c>
    </row>
    <row r="393" spans="1:16" ht="27" customHeight="1" x14ac:dyDescent="0.2">
      <c r="A393" s="396">
        <v>347</v>
      </c>
      <c r="B393" s="397" t="s">
        <v>13</v>
      </c>
      <c r="C393" s="397" t="s">
        <v>420</v>
      </c>
      <c r="D393" s="390">
        <f t="shared" si="18"/>
        <v>2017</v>
      </c>
      <c r="E393" s="391">
        <f>'שכר ומשרות'!J21</f>
        <v>0.4</v>
      </c>
      <c r="F393" s="393" t="s">
        <v>13</v>
      </c>
      <c r="G393" s="393" t="s">
        <v>421</v>
      </c>
      <c r="H393" s="455">
        <f t="shared" si="19"/>
        <v>2017</v>
      </c>
      <c r="I393" s="391">
        <f>'שכר ומשרות'!L21</f>
        <v>18</v>
      </c>
      <c r="J393" s="338" t="str">
        <f t="shared" si="20"/>
        <v>תקין</v>
      </c>
      <c r="K393" s="546"/>
      <c r="L393" s="340" t="str">
        <f t="shared" si="21"/>
        <v/>
      </c>
      <c r="M393" s="558"/>
      <c r="N393" s="282"/>
      <c r="P393" s="42" t="s">
        <v>357</v>
      </c>
    </row>
    <row r="394" spans="1:16" ht="23.25" customHeight="1" x14ac:dyDescent="0.2">
      <c r="A394" s="396">
        <v>348</v>
      </c>
      <c r="B394" s="397" t="s">
        <v>13</v>
      </c>
      <c r="C394" s="397" t="s">
        <v>422</v>
      </c>
      <c r="D394" s="390">
        <f t="shared" si="18"/>
        <v>2017</v>
      </c>
      <c r="E394" s="391">
        <f>'שכר ומשרות'!J24</f>
        <v>170.23</v>
      </c>
      <c r="F394" s="393" t="s">
        <v>13</v>
      </c>
      <c r="G394" s="393" t="s">
        <v>423</v>
      </c>
      <c r="H394" s="455">
        <f t="shared" si="19"/>
        <v>2017</v>
      </c>
      <c r="I394" s="391">
        <f>'שכר ומשרות'!L24</f>
        <v>7847</v>
      </c>
      <c r="J394" s="338" t="str">
        <f t="shared" si="20"/>
        <v>תקין</v>
      </c>
      <c r="K394" s="546"/>
      <c r="L394" s="340" t="str">
        <f t="shared" si="21"/>
        <v/>
      </c>
      <c r="M394" s="558"/>
      <c r="N394" s="282"/>
      <c r="P394" s="42" t="s">
        <v>357</v>
      </c>
    </row>
    <row r="395" spans="1:16" ht="23.25" customHeight="1" x14ac:dyDescent="0.2">
      <c r="A395" s="396">
        <v>349</v>
      </c>
      <c r="B395" s="397" t="s">
        <v>13</v>
      </c>
      <c r="C395" s="397" t="s">
        <v>424</v>
      </c>
      <c r="D395" s="390">
        <f t="shared" si="18"/>
        <v>2017</v>
      </c>
      <c r="E395" s="391">
        <f>'שכר ומשרות'!J25</f>
        <v>38.340000000000003</v>
      </c>
      <c r="F395" s="393" t="s">
        <v>13</v>
      </c>
      <c r="G395" s="393" t="s">
        <v>425</v>
      </c>
      <c r="H395" s="455">
        <f t="shared" si="19"/>
        <v>2017</v>
      </c>
      <c r="I395" s="391">
        <f>'שכר ומשרות'!L25</f>
        <v>1370</v>
      </c>
      <c r="J395" s="338" t="str">
        <f t="shared" si="20"/>
        <v>תקין</v>
      </c>
      <c r="K395" s="546"/>
      <c r="L395" s="340" t="str">
        <f t="shared" si="21"/>
        <v/>
      </c>
      <c r="M395" s="558"/>
      <c r="N395" s="282"/>
      <c r="P395" s="42" t="s">
        <v>357</v>
      </c>
    </row>
    <row r="396" spans="1:16" ht="23.25" customHeight="1" x14ac:dyDescent="0.2">
      <c r="A396" s="396">
        <v>350</v>
      </c>
      <c r="B396" s="397" t="s">
        <v>13</v>
      </c>
      <c r="C396" s="397" t="s">
        <v>426</v>
      </c>
      <c r="D396" s="390">
        <f t="shared" si="18"/>
        <v>2017</v>
      </c>
      <c r="E396" s="391">
        <f>'שכר ומשרות'!J26</f>
        <v>2.9</v>
      </c>
      <c r="F396" s="393" t="s">
        <v>13</v>
      </c>
      <c r="G396" s="393" t="s">
        <v>427</v>
      </c>
      <c r="H396" s="455">
        <f t="shared" si="19"/>
        <v>2017</v>
      </c>
      <c r="I396" s="391">
        <f>'שכר ומשרות'!L26</f>
        <v>106</v>
      </c>
      <c r="J396" s="338" t="str">
        <f t="shared" si="20"/>
        <v>תקין</v>
      </c>
      <c r="K396" s="546"/>
      <c r="L396" s="340" t="str">
        <f t="shared" si="21"/>
        <v/>
      </c>
      <c r="M396" s="558"/>
      <c r="N396" s="282"/>
      <c r="P396" s="42" t="s">
        <v>357</v>
      </c>
    </row>
    <row r="397" spans="1:16" ht="23.25" customHeight="1" x14ac:dyDescent="0.2">
      <c r="A397" s="396">
        <v>351</v>
      </c>
      <c r="B397" s="397" t="s">
        <v>13</v>
      </c>
      <c r="C397" s="397" t="s">
        <v>428</v>
      </c>
      <c r="D397" s="390">
        <f t="shared" si="18"/>
        <v>2017</v>
      </c>
      <c r="E397" s="391">
        <f>'שכר ומשרות'!J27</f>
        <v>11.11</v>
      </c>
      <c r="F397" s="393" t="s">
        <v>13</v>
      </c>
      <c r="G397" s="393" t="s">
        <v>429</v>
      </c>
      <c r="H397" s="455">
        <f t="shared" si="19"/>
        <v>2017</v>
      </c>
      <c r="I397" s="391">
        <f>'שכר ומשרות'!L27</f>
        <v>511</v>
      </c>
      <c r="J397" s="338" t="str">
        <f t="shared" si="20"/>
        <v>תקין</v>
      </c>
      <c r="K397" s="546"/>
      <c r="L397" s="340" t="str">
        <f t="shared" si="21"/>
        <v/>
      </c>
      <c r="M397" s="558"/>
      <c r="N397" s="282"/>
      <c r="P397" s="42" t="s">
        <v>357</v>
      </c>
    </row>
    <row r="398" spans="1:16" ht="23.25" customHeight="1" x14ac:dyDescent="0.2">
      <c r="A398" s="396">
        <v>352</v>
      </c>
      <c r="B398" s="397" t="s">
        <v>13</v>
      </c>
      <c r="C398" s="397" t="s">
        <v>430</v>
      </c>
      <c r="D398" s="390">
        <f t="shared" si="18"/>
        <v>2017</v>
      </c>
      <c r="E398" s="391">
        <f>'שכר ומשרות'!J28</f>
        <v>0</v>
      </c>
      <c r="F398" s="393" t="s">
        <v>13</v>
      </c>
      <c r="G398" s="393" t="s">
        <v>431</v>
      </c>
      <c r="H398" s="455">
        <f t="shared" si="19"/>
        <v>2017</v>
      </c>
      <c r="I398" s="391">
        <f>'שכר ומשרות'!L28</f>
        <v>0</v>
      </c>
      <c r="J398" s="338" t="str">
        <f t="shared" si="20"/>
        <v>תקין</v>
      </c>
      <c r="K398" s="546"/>
      <c r="L398" s="340" t="str">
        <f t="shared" si="21"/>
        <v/>
      </c>
      <c r="M398" s="558"/>
      <c r="N398" s="282"/>
      <c r="P398" s="42" t="s">
        <v>357</v>
      </c>
    </row>
    <row r="399" spans="1:16" ht="23.25" customHeight="1" x14ac:dyDescent="0.2">
      <c r="A399" s="396">
        <v>353</v>
      </c>
      <c r="B399" s="397" t="s">
        <v>13</v>
      </c>
      <c r="C399" s="397" t="s">
        <v>432</v>
      </c>
      <c r="D399" s="390">
        <f t="shared" si="18"/>
        <v>2017</v>
      </c>
      <c r="E399" s="391">
        <f>'שכר ומשרות'!J29</f>
        <v>1</v>
      </c>
      <c r="F399" s="393" t="s">
        <v>13</v>
      </c>
      <c r="G399" s="393" t="s">
        <v>433</v>
      </c>
      <c r="H399" s="455">
        <f t="shared" si="19"/>
        <v>2017</v>
      </c>
      <c r="I399" s="391">
        <f>'שכר ומשרות'!L29</f>
        <v>41</v>
      </c>
      <c r="J399" s="338" t="str">
        <f t="shared" si="20"/>
        <v>תקין</v>
      </c>
      <c r="K399" s="546"/>
      <c r="L399" s="340" t="str">
        <f t="shared" si="21"/>
        <v/>
      </c>
      <c r="M399" s="558"/>
      <c r="N399" s="282"/>
      <c r="P399" s="42" t="s">
        <v>357</v>
      </c>
    </row>
    <row r="400" spans="1:16" ht="23.25" customHeight="1" x14ac:dyDescent="0.2">
      <c r="A400" s="396">
        <v>354</v>
      </c>
      <c r="B400" s="397" t="s">
        <v>13</v>
      </c>
      <c r="C400" s="397" t="s">
        <v>434</v>
      </c>
      <c r="D400" s="390">
        <f t="shared" si="18"/>
        <v>2017</v>
      </c>
      <c r="E400" s="391">
        <f>'שכר ומשרות'!J30</f>
        <v>0</v>
      </c>
      <c r="F400" s="393" t="s">
        <v>13</v>
      </c>
      <c r="G400" s="393" t="s">
        <v>435</v>
      </c>
      <c r="H400" s="455">
        <f t="shared" si="19"/>
        <v>2017</v>
      </c>
      <c r="I400" s="391">
        <f>'שכר ומשרות'!L30</f>
        <v>0</v>
      </c>
      <c r="J400" s="338" t="str">
        <f t="shared" si="20"/>
        <v>תקין</v>
      </c>
      <c r="K400" s="546"/>
      <c r="L400" s="340" t="str">
        <f t="shared" si="21"/>
        <v/>
      </c>
      <c r="M400" s="558"/>
      <c r="N400" s="282"/>
      <c r="P400" s="42" t="s">
        <v>357</v>
      </c>
    </row>
    <row r="401" spans="1:16" ht="23.25" customHeight="1" x14ac:dyDescent="0.2">
      <c r="A401" s="396">
        <v>355</v>
      </c>
      <c r="B401" s="397" t="s">
        <v>13</v>
      </c>
      <c r="C401" s="397" t="s">
        <v>436</v>
      </c>
      <c r="D401" s="390">
        <f t="shared" si="18"/>
        <v>2017</v>
      </c>
      <c r="E401" s="391">
        <f>'שכר ומשרות'!J33</f>
        <v>0</v>
      </c>
      <c r="F401" s="393" t="s">
        <v>13</v>
      </c>
      <c r="G401" s="393" t="s">
        <v>437</v>
      </c>
      <c r="H401" s="455">
        <f t="shared" si="19"/>
        <v>2017</v>
      </c>
      <c r="I401" s="391">
        <f>'שכר ומשרות'!L33</f>
        <v>0</v>
      </c>
      <c r="J401" s="338" t="str">
        <f t="shared" si="20"/>
        <v>תקין</v>
      </c>
      <c r="K401" s="546"/>
      <c r="L401" s="340" t="str">
        <f t="shared" si="21"/>
        <v/>
      </c>
      <c r="M401" s="558"/>
      <c r="N401" s="282"/>
      <c r="P401" s="42" t="s">
        <v>357</v>
      </c>
    </row>
    <row r="402" spans="1:16" ht="23.25" customHeight="1" x14ac:dyDescent="0.2">
      <c r="A402" s="396">
        <v>356</v>
      </c>
      <c r="B402" s="397" t="s">
        <v>13</v>
      </c>
      <c r="C402" s="397" t="s">
        <v>438</v>
      </c>
      <c r="D402" s="390">
        <f t="shared" si="18"/>
        <v>2017</v>
      </c>
      <c r="E402" s="391">
        <f>'שכר ומשרות'!J34</f>
        <v>0</v>
      </c>
      <c r="F402" s="393" t="s">
        <v>13</v>
      </c>
      <c r="G402" s="393" t="s">
        <v>439</v>
      </c>
      <c r="H402" s="455">
        <f t="shared" si="19"/>
        <v>2017</v>
      </c>
      <c r="I402" s="391">
        <f>'שכר ומשרות'!L34</f>
        <v>0</v>
      </c>
      <c r="J402" s="338" t="str">
        <f t="shared" si="20"/>
        <v>תקין</v>
      </c>
      <c r="K402" s="546"/>
      <c r="L402" s="340" t="str">
        <f t="shared" si="21"/>
        <v/>
      </c>
      <c r="M402" s="558"/>
      <c r="N402" s="282"/>
      <c r="P402" s="42" t="s">
        <v>357</v>
      </c>
    </row>
    <row r="403" spans="1:16" ht="23.25" customHeight="1" x14ac:dyDescent="0.2">
      <c r="A403" s="396">
        <v>357</v>
      </c>
      <c r="B403" s="397" t="s">
        <v>13</v>
      </c>
      <c r="C403" s="397" t="s">
        <v>440</v>
      </c>
      <c r="D403" s="390">
        <f t="shared" si="18"/>
        <v>2017</v>
      </c>
      <c r="E403" s="391">
        <f>'שכר ומשרות'!J36</f>
        <v>11.69</v>
      </c>
      <c r="F403" s="393" t="s">
        <v>13</v>
      </c>
      <c r="G403" s="393" t="s">
        <v>441</v>
      </c>
      <c r="H403" s="455">
        <f t="shared" si="19"/>
        <v>2017</v>
      </c>
      <c r="I403" s="391">
        <f>'שכר ומשרות'!L36</f>
        <v>538</v>
      </c>
      <c r="J403" s="338" t="str">
        <f t="shared" si="20"/>
        <v>תקין</v>
      </c>
      <c r="K403" s="546"/>
      <c r="L403" s="340" t="str">
        <f t="shared" si="21"/>
        <v/>
      </c>
      <c r="M403" s="558"/>
      <c r="N403" s="282"/>
      <c r="P403" s="42" t="s">
        <v>357</v>
      </c>
    </row>
    <row r="404" spans="1:16" ht="23.25" customHeight="1" x14ac:dyDescent="0.2">
      <c r="A404" s="396">
        <v>358</v>
      </c>
      <c r="B404" s="397" t="s">
        <v>13</v>
      </c>
      <c r="C404" s="397" t="s">
        <v>442</v>
      </c>
      <c r="D404" s="390">
        <f t="shared" si="18"/>
        <v>2017</v>
      </c>
      <c r="E404" s="391">
        <f>'שכר ומשרות'!J37</f>
        <v>0.54</v>
      </c>
      <c r="F404" s="393" t="s">
        <v>13</v>
      </c>
      <c r="G404" s="393" t="s">
        <v>443</v>
      </c>
      <c r="H404" s="455">
        <f t="shared" si="19"/>
        <v>2017</v>
      </c>
      <c r="I404" s="391">
        <f>'שכר ומשרות'!L37</f>
        <v>36</v>
      </c>
      <c r="J404" s="338" t="str">
        <f t="shared" si="20"/>
        <v>תקין</v>
      </c>
      <c r="K404" s="546"/>
      <c r="L404" s="340" t="str">
        <f t="shared" si="21"/>
        <v/>
      </c>
      <c r="M404" s="558"/>
      <c r="N404" s="282"/>
      <c r="P404" s="42" t="s">
        <v>357</v>
      </c>
    </row>
    <row r="405" spans="1:16" ht="23.25" customHeight="1" x14ac:dyDescent="0.2">
      <c r="A405" s="396">
        <v>359</v>
      </c>
      <c r="B405" s="397" t="s">
        <v>13</v>
      </c>
      <c r="C405" s="397" t="s">
        <v>444</v>
      </c>
      <c r="D405" s="390">
        <f t="shared" si="18"/>
        <v>2017</v>
      </c>
      <c r="E405" s="391">
        <f>'שכר ומשרות'!J41</f>
        <v>34.67</v>
      </c>
      <c r="F405" s="393" t="s">
        <v>13</v>
      </c>
      <c r="G405" s="393" t="s">
        <v>445</v>
      </c>
      <c r="H405" s="455">
        <f t="shared" si="19"/>
        <v>2017</v>
      </c>
      <c r="I405" s="391">
        <f>'שכר ומשרות'!L41</f>
        <v>1435</v>
      </c>
      <c r="J405" s="338" t="str">
        <f t="shared" si="20"/>
        <v>תקין</v>
      </c>
      <c r="K405" s="546"/>
      <c r="L405" s="340" t="str">
        <f t="shared" si="21"/>
        <v/>
      </c>
      <c r="M405" s="558"/>
      <c r="N405" s="282"/>
      <c r="P405" s="42" t="s">
        <v>357</v>
      </c>
    </row>
    <row r="406" spans="1:16" ht="23.25" customHeight="1" x14ac:dyDescent="0.2">
      <c r="A406" s="396">
        <v>360</v>
      </c>
      <c r="B406" s="397" t="s">
        <v>13</v>
      </c>
      <c r="C406" s="397" t="s">
        <v>446</v>
      </c>
      <c r="D406" s="390">
        <f t="shared" si="18"/>
        <v>2017</v>
      </c>
      <c r="E406" s="391">
        <f>'שכר ומשרות'!$D$43</f>
        <v>323.09999999999997</v>
      </c>
      <c r="F406" s="398"/>
      <c r="G406" s="393"/>
      <c r="H406" s="455"/>
      <c r="I406" s="391"/>
      <c r="J406" s="338" t="str">
        <f>IF($E406&lt;&gt;0,$B$3,"")</f>
        <v>תקין</v>
      </c>
      <c r="K406" s="546"/>
      <c r="L406" s="340" t="str">
        <f>IF($E406&lt;&gt;0,"",P406)</f>
        <v/>
      </c>
      <c r="M406" s="558"/>
      <c r="N406" s="282"/>
      <c r="P406" s="42" t="s">
        <v>478</v>
      </c>
    </row>
    <row r="407" spans="1:16" ht="23.25" customHeight="1" x14ac:dyDescent="0.2">
      <c r="A407" s="396">
        <v>361</v>
      </c>
      <c r="B407" s="397" t="s">
        <v>13</v>
      </c>
      <c r="C407" s="397" t="s">
        <v>188</v>
      </c>
      <c r="D407" s="390">
        <f t="shared" si="18"/>
        <v>2017</v>
      </c>
      <c r="E407" s="391">
        <f>'שכר ומשרות'!$F$43</f>
        <v>60205</v>
      </c>
      <c r="F407" s="398"/>
      <c r="G407" s="393"/>
      <c r="H407" s="455"/>
      <c r="I407" s="391"/>
      <c r="J407" s="338" t="str">
        <f>IF($E407&lt;&gt;0,$B$3,"")</f>
        <v>תקין</v>
      </c>
      <c r="K407" s="546"/>
      <c r="L407" s="340" t="str">
        <f>IF($E407&lt;&gt;0,"",P407)</f>
        <v/>
      </c>
      <c r="M407" s="558"/>
      <c r="N407" s="282"/>
      <c r="P407" s="42" t="s">
        <v>487</v>
      </c>
    </row>
    <row r="408" spans="1:16" ht="23.25" customHeight="1" x14ac:dyDescent="0.2">
      <c r="A408" s="396">
        <v>362</v>
      </c>
      <c r="B408" s="397" t="s">
        <v>13</v>
      </c>
      <c r="C408" s="397" t="s">
        <v>488</v>
      </c>
      <c r="D408" s="390">
        <f t="shared" si="18"/>
        <v>2017</v>
      </c>
      <c r="E408" s="391">
        <f>'שכר ומשרות'!$J$43</f>
        <v>312.63</v>
      </c>
      <c r="F408" s="398"/>
      <c r="G408" s="393"/>
      <c r="H408" s="455"/>
      <c r="I408" s="391"/>
      <c r="J408" s="338" t="str">
        <f>IF($E408&lt;&gt;0,$B$3,"")</f>
        <v>תקין</v>
      </c>
      <c r="K408" s="546"/>
      <c r="L408" s="340" t="str">
        <f>IF($E408&lt;&gt;0,"",P408)</f>
        <v/>
      </c>
      <c r="M408" s="558"/>
      <c r="N408" s="282"/>
      <c r="P408" s="42" t="s">
        <v>489</v>
      </c>
    </row>
    <row r="409" spans="1:16" ht="23.25" customHeight="1" x14ac:dyDescent="0.2">
      <c r="A409" s="396">
        <v>363</v>
      </c>
      <c r="B409" s="397" t="s">
        <v>13</v>
      </c>
      <c r="C409" s="397" t="s">
        <v>189</v>
      </c>
      <c r="D409" s="390">
        <f t="shared" si="18"/>
        <v>2017</v>
      </c>
      <c r="E409" s="391">
        <f>'שכר ומשרות'!$L$43</f>
        <v>14440</v>
      </c>
      <c r="F409" s="398"/>
      <c r="G409" s="393"/>
      <c r="H409" s="455"/>
      <c r="I409" s="391"/>
      <c r="J409" s="338" t="str">
        <f>IF($E409&lt;&gt;0,$B$3,"")</f>
        <v>תקין</v>
      </c>
      <c r="K409" s="546"/>
      <c r="L409" s="340" t="str">
        <f>IF($E409&lt;&gt;0,"",P409)</f>
        <v/>
      </c>
      <c r="M409" s="557"/>
      <c r="N409" s="282"/>
      <c r="P409" s="42" t="s">
        <v>490</v>
      </c>
    </row>
    <row r="410" spans="1:16" ht="23.25" customHeight="1" x14ac:dyDescent="0.2">
      <c r="A410" s="396">
        <v>364</v>
      </c>
      <c r="B410" s="397" t="s">
        <v>13</v>
      </c>
      <c r="C410" s="397" t="s">
        <v>491</v>
      </c>
      <c r="D410" s="390">
        <f t="shared" si="18"/>
        <v>2017</v>
      </c>
      <c r="E410" s="391">
        <f>'שכר ומשרות'!L27</f>
        <v>511</v>
      </c>
      <c r="F410" s="398" t="s">
        <v>932</v>
      </c>
      <c r="G410" s="393" t="s">
        <v>492</v>
      </c>
      <c r="H410" s="455">
        <f>$F$3</f>
        <v>2017</v>
      </c>
      <c r="I410" s="391">
        <f>'תקציב רגיל'!G40</f>
        <v>531</v>
      </c>
      <c r="J410" s="338" t="str">
        <f>IF(E410=I410,$B$3,"")</f>
        <v/>
      </c>
      <c r="K410" s="546">
        <f>IF(E410=I410,"",E410-I410)</f>
        <v>-20</v>
      </c>
      <c r="L410" s="340" t="str">
        <f>IF(E410=I410,"",P410)</f>
        <v>קיים שוני בשכר עובדי רווחה בין נתוני השכר לנתוני התקציב.</v>
      </c>
      <c r="M410" s="558"/>
      <c r="N410" s="282"/>
      <c r="P410" s="58" t="s">
        <v>493</v>
      </c>
    </row>
    <row r="411" spans="1:16" ht="23.25" customHeight="1" x14ac:dyDescent="0.2">
      <c r="A411" s="396">
        <v>365</v>
      </c>
      <c r="B411" s="397" t="s">
        <v>13</v>
      </c>
      <c r="C411" s="397" t="s">
        <v>494</v>
      </c>
      <c r="D411" s="390">
        <f t="shared" si="18"/>
        <v>2017</v>
      </c>
      <c r="E411" s="391">
        <f>'שכר ומשרות'!L24</f>
        <v>7847</v>
      </c>
      <c r="F411" s="398" t="s">
        <v>932</v>
      </c>
      <c r="G411" s="393" t="s">
        <v>495</v>
      </c>
      <c r="H411" s="455">
        <f>$F$3</f>
        <v>2017</v>
      </c>
      <c r="I411" s="391">
        <f>'תקציב רגיל'!G37</f>
        <v>7950</v>
      </c>
      <c r="J411" s="338" t="str">
        <f>IF(E411=I411,$B$3,"")</f>
        <v/>
      </c>
      <c r="K411" s="546">
        <f>IF(E411=I411,"",E411-I411)</f>
        <v>-103</v>
      </c>
      <c r="L411" s="340" t="str">
        <f>IF(E411=I411,"",P411)</f>
        <v>קיים שוני בשכר עובדי חינוך בין נתוני השכר לנתוני התקציב.</v>
      </c>
      <c r="M411" s="557" t="s">
        <v>992</v>
      </c>
      <c r="N411" s="282"/>
      <c r="P411" s="58" t="s">
        <v>496</v>
      </c>
    </row>
    <row r="412" spans="1:16" ht="23.25" customHeight="1" x14ac:dyDescent="0.2">
      <c r="A412" s="396">
        <v>366</v>
      </c>
      <c r="B412" s="397" t="s">
        <v>13</v>
      </c>
      <c r="C412" s="397" t="s">
        <v>497</v>
      </c>
      <c r="D412" s="390">
        <f t="shared" si="18"/>
        <v>2017</v>
      </c>
      <c r="E412" s="391">
        <f>'שכר ומשרות'!L13</f>
        <v>922</v>
      </c>
      <c r="F412" s="398"/>
      <c r="G412" s="393"/>
      <c r="H412" s="455"/>
      <c r="I412" s="391"/>
      <c r="J412" s="519"/>
      <c r="K412" s="546"/>
      <c r="L412" s="340"/>
      <c r="M412" s="558"/>
      <c r="N412" s="282"/>
    </row>
    <row r="413" spans="1:16" ht="23.25" customHeight="1" x14ac:dyDescent="0.2">
      <c r="A413" s="396"/>
      <c r="B413" s="397" t="s">
        <v>13</v>
      </c>
      <c r="C413" s="397" t="s">
        <v>498</v>
      </c>
      <c r="D413" s="390">
        <f t="shared" si="18"/>
        <v>2017</v>
      </c>
      <c r="E413" s="391">
        <f>'שכר ומשרות'!L22</f>
        <v>1585</v>
      </c>
      <c r="F413" s="398"/>
      <c r="G413" s="393"/>
      <c r="H413" s="455"/>
      <c r="I413" s="391"/>
      <c r="J413" s="519"/>
      <c r="K413" s="546"/>
      <c r="L413" s="340"/>
      <c r="M413" s="558"/>
      <c r="N413" s="282"/>
    </row>
    <row r="414" spans="1:16" ht="23.25" customHeight="1" x14ac:dyDescent="0.2">
      <c r="A414" s="396"/>
      <c r="B414" s="397" t="s">
        <v>13</v>
      </c>
      <c r="C414" s="397" t="s">
        <v>499</v>
      </c>
      <c r="D414" s="390">
        <f t="shared" si="18"/>
        <v>2017</v>
      </c>
      <c r="E414" s="391">
        <f>'שכר ומשרות'!L31</f>
        <v>9875</v>
      </c>
      <c r="F414" s="398"/>
      <c r="G414" s="393"/>
      <c r="H414" s="455"/>
      <c r="I414" s="391"/>
      <c r="J414" s="519"/>
      <c r="K414" s="546"/>
      <c r="L414" s="340"/>
      <c r="M414" s="558"/>
      <c r="N414" s="282"/>
    </row>
    <row r="415" spans="1:16" ht="23.25" customHeight="1" x14ac:dyDescent="0.2">
      <c r="A415" s="396"/>
      <c r="B415" s="397" t="s">
        <v>13</v>
      </c>
      <c r="C415" s="397" t="s">
        <v>500</v>
      </c>
      <c r="D415" s="390">
        <f t="shared" si="18"/>
        <v>2017</v>
      </c>
      <c r="E415" s="391">
        <f>'שכר ומשרות'!L39</f>
        <v>623</v>
      </c>
      <c r="F415" s="398"/>
      <c r="G415" s="393"/>
      <c r="H415" s="455"/>
      <c r="I415" s="391"/>
      <c r="J415" s="519"/>
      <c r="K415" s="546"/>
      <c r="L415" s="340"/>
      <c r="M415" s="558"/>
      <c r="N415" s="282"/>
    </row>
    <row r="416" spans="1:16" ht="23.25" customHeight="1" x14ac:dyDescent="0.2">
      <c r="A416" s="396"/>
      <c r="B416" s="397" t="s">
        <v>13</v>
      </c>
      <c r="C416" s="397" t="s">
        <v>491</v>
      </c>
      <c r="D416" s="390">
        <f>$F$3</f>
        <v>2017</v>
      </c>
      <c r="E416" s="391">
        <f>'שכר ומשרות'!L27</f>
        <v>511</v>
      </c>
      <c r="F416" s="398"/>
      <c r="G416" s="393"/>
      <c r="H416" s="455"/>
      <c r="I416" s="391"/>
      <c r="J416" s="519"/>
      <c r="K416" s="546"/>
      <c r="L416" s="340"/>
      <c r="M416" s="558"/>
      <c r="N416" s="282"/>
    </row>
    <row r="417" spans="1:16" ht="23.25" customHeight="1" x14ac:dyDescent="0.2">
      <c r="A417" s="396"/>
      <c r="B417" s="397" t="s">
        <v>13</v>
      </c>
      <c r="C417" s="397" t="s">
        <v>494</v>
      </c>
      <c r="D417" s="390">
        <f>$F$3</f>
        <v>2017</v>
      </c>
      <c r="E417" s="391">
        <f>'שכר ומשרות'!L24</f>
        <v>7847</v>
      </c>
      <c r="F417" s="398"/>
      <c r="G417" s="393"/>
      <c r="H417" s="455"/>
      <c r="I417" s="391"/>
      <c r="J417" s="519"/>
      <c r="K417" s="546"/>
      <c r="L417" s="340"/>
      <c r="M417" s="558"/>
      <c r="N417" s="282"/>
    </row>
    <row r="418" spans="1:16" ht="23.25" customHeight="1" x14ac:dyDescent="0.2">
      <c r="A418" s="396"/>
      <c r="B418" s="397" t="s">
        <v>13</v>
      </c>
      <c r="C418" s="397" t="s">
        <v>71</v>
      </c>
      <c r="D418" s="390">
        <f>$F$3</f>
        <v>2017</v>
      </c>
      <c r="E418" s="391">
        <f>'שכר ומשרות'!L41</f>
        <v>1435</v>
      </c>
      <c r="F418" s="398"/>
      <c r="G418" s="393"/>
      <c r="H418" s="455"/>
      <c r="I418" s="391"/>
      <c r="J418" s="519"/>
      <c r="K418" s="546"/>
      <c r="L418" s="340"/>
      <c r="M418" s="558"/>
      <c r="N418" s="282"/>
    </row>
    <row r="419" spans="1:16" ht="23.25" customHeight="1" x14ac:dyDescent="0.2">
      <c r="A419" s="396"/>
      <c r="B419" s="397"/>
      <c r="C419" s="397" t="s">
        <v>766</v>
      </c>
      <c r="D419" s="390"/>
      <c r="E419" s="399">
        <f>E412+E413+E414+E415-E416-E417+E418</f>
        <v>6082</v>
      </c>
      <c r="F419" s="398" t="s">
        <v>932</v>
      </c>
      <c r="G419" s="393" t="s">
        <v>501</v>
      </c>
      <c r="H419" s="455">
        <f>$F$3</f>
        <v>2017</v>
      </c>
      <c r="I419" s="391">
        <f>'תקציב רגיל'!G32</f>
        <v>6187</v>
      </c>
      <c r="J419" s="338" t="str">
        <f>IF(E419=I419,$B$3,"")</f>
        <v/>
      </c>
      <c r="K419" s="546">
        <f>IF(E419=I419,"",E419-I419)</f>
        <v>-105</v>
      </c>
      <c r="L419" s="340" t="str">
        <f>IF(E419=I419,"",P419)</f>
        <v>קיים שוני בשכר הכללי בין נתוני השכר לנתוני התקציב.</v>
      </c>
      <c r="M419" s="557" t="s">
        <v>992</v>
      </c>
      <c r="N419" s="282"/>
      <c r="P419" s="58" t="s">
        <v>502</v>
      </c>
    </row>
    <row r="420" spans="1:16" ht="23.25" customHeight="1" x14ac:dyDescent="0.2">
      <c r="A420" s="395"/>
      <c r="B420" s="393"/>
      <c r="C420" s="393"/>
      <c r="D420" s="390"/>
      <c r="E420" s="391"/>
      <c r="F420" s="392"/>
      <c r="G420" s="393"/>
      <c r="H420" s="455"/>
      <c r="I420" s="391"/>
      <c r="J420" s="338"/>
      <c r="K420" s="546"/>
      <c r="L420" s="340"/>
      <c r="M420" s="573"/>
      <c r="N420" s="282"/>
    </row>
    <row r="421" spans="1:16" ht="15.75" x14ac:dyDescent="0.2">
      <c r="A421" s="359"/>
      <c r="B421" s="620" t="s">
        <v>503</v>
      </c>
      <c r="C421" s="620"/>
      <c r="D421" s="620"/>
      <c r="E421" s="620"/>
      <c r="F421" s="620"/>
      <c r="G421" s="620"/>
      <c r="H421" s="620"/>
      <c r="I421" s="620"/>
      <c r="J421" s="360"/>
      <c r="K421" s="550"/>
      <c r="L421" s="361"/>
      <c r="M421" s="372"/>
      <c r="N421" s="282"/>
    </row>
    <row r="422" spans="1:16" ht="37.5" customHeight="1" x14ac:dyDescent="0.2">
      <c r="A422" s="395">
        <v>367</v>
      </c>
      <c r="B422" s="393" t="s">
        <v>504</v>
      </c>
      <c r="C422" s="393" t="s">
        <v>505</v>
      </c>
      <c r="D422" s="390">
        <f>$F$3</f>
        <v>2017</v>
      </c>
      <c r="E422" s="391"/>
      <c r="F422" s="392"/>
      <c r="G422" s="393"/>
      <c r="H422" s="455"/>
      <c r="I422" s="391"/>
      <c r="J422" s="338" t="str">
        <f>IF('בעלי שכר גבוה'!B6&lt;&gt;"","",$B$3)</f>
        <v>תקין</v>
      </c>
      <c r="K422" s="546"/>
      <c r="L422" s="340" t="str">
        <f>IF('בעלי שכר גבוה'!B6&lt;&gt;"",P422,"")</f>
        <v/>
      </c>
      <c r="M422" s="558"/>
      <c r="N422" s="282"/>
      <c r="P422" s="42" t="s">
        <v>511</v>
      </c>
    </row>
    <row r="423" spans="1:16" ht="23.25" customHeight="1" x14ac:dyDescent="0.2">
      <c r="A423" s="395">
        <v>368</v>
      </c>
      <c r="B423" s="393" t="s">
        <v>504</v>
      </c>
      <c r="C423" s="393" t="s">
        <v>512</v>
      </c>
      <c r="D423" s="390">
        <f>$F$3</f>
        <v>2017</v>
      </c>
      <c r="E423" s="391"/>
      <c r="F423" s="392"/>
      <c r="G423" s="393"/>
      <c r="H423" s="455"/>
      <c r="I423" s="391"/>
      <c r="J423" s="338" t="str">
        <f>IF(AND(OR(('הגדרות כלליות'!D17=2),('הגדרות כלליות'!D17=4)),('בעלי שכר גבוה'!Z39&lt;3)),"",$B$3)</f>
        <v>תקין</v>
      </c>
      <c r="K423" s="546" t="str">
        <f>IF(AND(OR(('הגדרות כלליות'!D17=2),('הגדרות כלליות'!D17=4)),('בעלי שכר גבוה'!Z39&lt;3)),'בעלי שכר גבוה'!Z39,"")</f>
        <v/>
      </c>
      <c r="L423" s="340" t="str">
        <f>IF(AND(OR(('הגדרות כלליות'!D17=2),('הגדרות כלליות'!D17=4)),('בעלי שכר גבוה'!Z39&lt;3)),P423,"")</f>
        <v/>
      </c>
      <c r="M423" s="557"/>
      <c r="N423" s="282"/>
      <c r="P423" s="42" t="s">
        <v>513</v>
      </c>
    </row>
    <row r="424" spans="1:16" ht="23.25" customHeight="1" x14ac:dyDescent="0.2">
      <c r="A424" s="395"/>
      <c r="B424" s="393"/>
      <c r="C424" s="393"/>
      <c r="D424" s="390"/>
      <c r="E424" s="391"/>
      <c r="F424" s="392"/>
      <c r="G424" s="393"/>
      <c r="H424" s="455"/>
      <c r="I424" s="391"/>
      <c r="J424" s="338"/>
      <c r="K424" s="339"/>
      <c r="L424" s="340"/>
      <c r="M424" s="400"/>
      <c r="N424" s="282"/>
    </row>
    <row r="425" spans="1:16" ht="23.25" customHeight="1" x14ac:dyDescent="0.2">
      <c r="A425" s="395"/>
      <c r="B425" s="393"/>
      <c r="C425" s="393"/>
      <c r="D425" s="390"/>
      <c r="E425" s="391"/>
      <c r="F425" s="392"/>
      <c r="G425" s="393"/>
      <c r="H425" s="455"/>
      <c r="I425" s="391"/>
      <c r="J425" s="338"/>
      <c r="K425" s="339"/>
      <c r="L425" s="340"/>
      <c r="M425" s="400"/>
      <c r="N425" s="282"/>
    </row>
    <row r="426" spans="1:16" ht="23.25" customHeight="1" x14ac:dyDescent="0.2">
      <c r="A426" s="395"/>
      <c r="B426" s="393"/>
      <c r="C426" s="393"/>
      <c r="D426" s="390"/>
      <c r="E426" s="391"/>
      <c r="F426" s="392"/>
      <c r="G426" s="393"/>
      <c r="H426" s="455"/>
      <c r="I426" s="391"/>
      <c r="J426" s="338"/>
      <c r="K426" s="339"/>
      <c r="L426" s="340"/>
      <c r="M426" s="400"/>
      <c r="N426" s="282"/>
    </row>
    <row r="427" spans="1:16" ht="23.25" customHeight="1" x14ac:dyDescent="0.2">
      <c r="A427" s="395"/>
      <c r="B427" s="393"/>
      <c r="C427" s="393"/>
      <c r="D427" s="390"/>
      <c r="E427" s="391"/>
      <c r="F427" s="392"/>
      <c r="G427" s="393"/>
      <c r="H427" s="455"/>
      <c r="I427" s="391"/>
      <c r="J427" s="338"/>
      <c r="K427" s="339"/>
      <c r="L427" s="340"/>
      <c r="M427" s="400"/>
      <c r="N427" s="282"/>
    </row>
    <row r="428" spans="1:16" ht="23.25" customHeight="1" x14ac:dyDescent="0.2">
      <c r="A428" s="395"/>
      <c r="B428" s="393"/>
      <c r="C428" s="393"/>
      <c r="D428" s="390"/>
      <c r="E428" s="391"/>
      <c r="F428" s="392"/>
      <c r="G428" s="393"/>
      <c r="H428" s="455"/>
      <c r="I428" s="391"/>
      <c r="J428" s="338"/>
      <c r="K428" s="339"/>
      <c r="L428" s="340"/>
      <c r="M428" s="400"/>
      <c r="N428" s="282"/>
    </row>
    <row r="429" spans="1:16" ht="23.25" customHeight="1" x14ac:dyDescent="0.2">
      <c r="A429" s="395"/>
      <c r="B429" s="393"/>
      <c r="C429" s="393"/>
      <c r="D429" s="390"/>
      <c r="E429" s="391"/>
      <c r="F429" s="392"/>
      <c r="G429" s="393"/>
      <c r="H429" s="455"/>
      <c r="I429" s="391"/>
      <c r="J429" s="338"/>
      <c r="K429" s="339"/>
      <c r="L429" s="340"/>
      <c r="M429" s="400"/>
      <c r="N429" s="282"/>
    </row>
    <row r="430" spans="1:16" ht="23.25" customHeight="1" x14ac:dyDescent="0.2">
      <c r="A430" s="395"/>
      <c r="B430" s="393"/>
      <c r="C430" s="393"/>
      <c r="D430" s="390"/>
      <c r="E430" s="391"/>
      <c r="F430" s="392"/>
      <c r="G430" s="393"/>
      <c r="H430" s="455"/>
      <c r="I430" s="391"/>
      <c r="J430" s="338"/>
      <c r="K430" s="339"/>
      <c r="L430" s="340"/>
      <c r="M430" s="400"/>
      <c r="N430" s="282"/>
    </row>
    <row r="431" spans="1:16" ht="23.25" customHeight="1" x14ac:dyDescent="0.2">
      <c r="A431" s="395"/>
      <c r="B431" s="393"/>
      <c r="C431" s="393"/>
      <c r="D431" s="390"/>
      <c r="E431" s="391"/>
      <c r="F431" s="392"/>
      <c r="G431" s="393"/>
      <c r="H431" s="455"/>
      <c r="I431" s="391"/>
      <c r="J431" s="338"/>
      <c r="K431" s="339"/>
      <c r="L431" s="340"/>
      <c r="M431" s="400"/>
      <c r="N431" s="282"/>
    </row>
    <row r="432" spans="1:16" ht="23.25" customHeight="1" x14ac:dyDescent="0.2">
      <c r="A432" s="395"/>
      <c r="B432" s="393"/>
      <c r="C432" s="393"/>
      <c r="D432" s="390"/>
      <c r="E432" s="391"/>
      <c r="F432" s="392"/>
      <c r="G432" s="393"/>
      <c r="H432" s="455"/>
      <c r="I432" s="391"/>
      <c r="J432" s="338"/>
      <c r="K432" s="339"/>
      <c r="L432" s="340"/>
      <c r="M432" s="400"/>
      <c r="N432" s="282"/>
    </row>
    <row r="433" spans="1:14" ht="23.25" customHeight="1" x14ac:dyDescent="0.2">
      <c r="A433" s="395"/>
      <c r="B433" s="393"/>
      <c r="C433" s="393"/>
      <c r="D433" s="390"/>
      <c r="E433" s="391"/>
      <c r="F433" s="392"/>
      <c r="G433" s="393"/>
      <c r="H433" s="455"/>
      <c r="I433" s="391"/>
      <c r="J433" s="338"/>
      <c r="K433" s="339"/>
      <c r="L433" s="340"/>
      <c r="M433" s="400"/>
      <c r="N433" s="282"/>
    </row>
    <row r="434" spans="1:14" ht="23.25" customHeight="1" x14ac:dyDescent="0.2">
      <c r="A434" s="395"/>
      <c r="B434" s="393"/>
      <c r="C434" s="393"/>
      <c r="D434" s="390"/>
      <c r="E434" s="391"/>
      <c r="F434" s="392"/>
      <c r="G434" s="393"/>
      <c r="H434" s="455"/>
      <c r="I434" s="391"/>
      <c r="J434" s="338"/>
      <c r="K434" s="339"/>
      <c r="L434" s="340"/>
      <c r="M434" s="400"/>
      <c r="N434" s="282"/>
    </row>
    <row r="435" spans="1:14" ht="23.25" customHeight="1" x14ac:dyDescent="0.2">
      <c r="A435" s="395"/>
      <c r="B435" s="393"/>
      <c r="C435" s="393"/>
      <c r="D435" s="390"/>
      <c r="E435" s="391"/>
      <c r="F435" s="392"/>
      <c r="G435" s="393"/>
      <c r="H435" s="455"/>
      <c r="I435" s="391"/>
      <c r="J435" s="338"/>
      <c r="K435" s="339"/>
      <c r="L435" s="340"/>
      <c r="M435" s="400"/>
      <c r="N435" s="282"/>
    </row>
    <row r="436" spans="1:14" ht="23.25" customHeight="1" x14ac:dyDescent="0.2">
      <c r="A436" s="395"/>
      <c r="B436" s="393"/>
      <c r="C436" s="393"/>
      <c r="D436" s="390"/>
      <c r="E436" s="391"/>
      <c r="F436" s="392"/>
      <c r="G436" s="393"/>
      <c r="H436" s="455"/>
      <c r="I436" s="391"/>
      <c r="J436" s="338"/>
      <c r="K436" s="339"/>
      <c r="L436" s="340"/>
      <c r="M436" s="400"/>
      <c r="N436" s="282"/>
    </row>
    <row r="437" spans="1:14" ht="23.25" customHeight="1" x14ac:dyDescent="0.2">
      <c r="A437" s="395"/>
      <c r="B437" s="393"/>
      <c r="C437" s="393"/>
      <c r="D437" s="390"/>
      <c r="E437" s="391"/>
      <c r="F437" s="392"/>
      <c r="G437" s="393"/>
      <c r="H437" s="455"/>
      <c r="I437" s="391"/>
      <c r="J437" s="338"/>
      <c r="K437" s="339"/>
      <c r="L437" s="340"/>
      <c r="M437" s="400"/>
      <c r="N437" s="282"/>
    </row>
    <row r="438" spans="1:14" ht="23.25" customHeight="1" x14ac:dyDescent="0.2">
      <c r="A438" s="395"/>
      <c r="B438" s="393"/>
      <c r="C438" s="393"/>
      <c r="D438" s="390"/>
      <c r="E438" s="391"/>
      <c r="F438" s="392"/>
      <c r="G438" s="393"/>
      <c r="H438" s="455"/>
      <c r="I438" s="391"/>
      <c r="J438" s="338"/>
      <c r="K438" s="339"/>
      <c r="L438" s="340"/>
      <c r="M438" s="400"/>
      <c r="N438" s="282"/>
    </row>
    <row r="439" spans="1:14" ht="23.25" customHeight="1" x14ac:dyDescent="0.2">
      <c r="A439" s="395"/>
      <c r="B439" s="393"/>
      <c r="C439" s="393"/>
      <c r="D439" s="390"/>
      <c r="E439" s="391"/>
      <c r="F439" s="392"/>
      <c r="G439" s="393"/>
      <c r="H439" s="455"/>
      <c r="I439" s="391"/>
      <c r="J439" s="338"/>
      <c r="K439" s="339"/>
      <c r="L439" s="340"/>
      <c r="M439" s="400"/>
      <c r="N439" s="282"/>
    </row>
    <row r="440" spans="1:14" ht="23.25" customHeight="1" x14ac:dyDescent="0.2">
      <c r="A440" s="395"/>
      <c r="B440" s="393"/>
      <c r="C440" s="393"/>
      <c r="D440" s="390"/>
      <c r="E440" s="391"/>
      <c r="F440" s="392"/>
      <c r="G440" s="393"/>
      <c r="H440" s="455"/>
      <c r="I440" s="391"/>
      <c r="J440" s="338"/>
      <c r="K440" s="339"/>
      <c r="L440" s="340"/>
      <c r="M440" s="400"/>
      <c r="N440" s="282"/>
    </row>
    <row r="441" spans="1:14" ht="23.25" customHeight="1" x14ac:dyDescent="0.2">
      <c r="A441" s="395"/>
      <c r="B441" s="393"/>
      <c r="C441" s="393"/>
      <c r="D441" s="390"/>
      <c r="E441" s="391"/>
      <c r="F441" s="392"/>
      <c r="G441" s="393"/>
      <c r="H441" s="455"/>
      <c r="I441" s="391"/>
      <c r="J441" s="338"/>
      <c r="K441" s="339"/>
      <c r="L441" s="340"/>
      <c r="M441" s="400"/>
      <c r="N441" s="282"/>
    </row>
    <row r="442" spans="1:14" ht="23.25" customHeight="1" x14ac:dyDescent="0.2">
      <c r="A442" s="395"/>
      <c r="B442" s="393"/>
      <c r="C442" s="393"/>
      <c r="D442" s="390"/>
      <c r="E442" s="391"/>
      <c r="F442" s="392"/>
      <c r="G442" s="393"/>
      <c r="H442" s="455"/>
      <c r="I442" s="391"/>
      <c r="J442" s="338"/>
      <c r="K442" s="339"/>
      <c r="L442" s="340"/>
      <c r="M442" s="400"/>
      <c r="N442" s="282"/>
    </row>
    <row r="443" spans="1:14" ht="23.25" customHeight="1" x14ac:dyDescent="0.2">
      <c r="A443" s="395"/>
      <c r="B443" s="393"/>
      <c r="C443" s="393"/>
      <c r="D443" s="390"/>
      <c r="E443" s="391"/>
      <c r="F443" s="392"/>
      <c r="G443" s="393"/>
      <c r="H443" s="455"/>
      <c r="I443" s="391"/>
      <c r="J443" s="338"/>
      <c r="K443" s="339"/>
      <c r="L443" s="340"/>
      <c r="M443" s="400"/>
      <c r="N443" s="282"/>
    </row>
    <row r="444" spans="1:14" ht="23.25" customHeight="1" x14ac:dyDescent="0.2">
      <c r="A444" s="395"/>
      <c r="B444" s="393"/>
      <c r="C444" s="393"/>
      <c r="D444" s="390"/>
      <c r="E444" s="391"/>
      <c r="F444" s="392"/>
      <c r="G444" s="393"/>
      <c r="H444" s="455"/>
      <c r="I444" s="391"/>
      <c r="J444" s="338"/>
      <c r="K444" s="339"/>
      <c r="L444" s="340"/>
      <c r="M444" s="400"/>
      <c r="N444" s="282"/>
    </row>
    <row r="445" spans="1:14" ht="23.25" customHeight="1" x14ac:dyDescent="0.2">
      <c r="A445" s="395"/>
      <c r="B445" s="393"/>
      <c r="C445" s="393"/>
      <c r="D445" s="390"/>
      <c r="E445" s="391"/>
      <c r="F445" s="392"/>
      <c r="G445" s="393"/>
      <c r="H445" s="455"/>
      <c r="I445" s="391"/>
      <c r="J445" s="338"/>
      <c r="K445" s="339"/>
      <c r="L445" s="340"/>
      <c r="M445" s="400"/>
      <c r="N445" s="282"/>
    </row>
    <row r="446" spans="1:14" ht="23.25" customHeight="1" x14ac:dyDescent="0.2">
      <c r="A446" s="395"/>
      <c r="B446" s="393"/>
      <c r="C446" s="393"/>
      <c r="D446" s="390"/>
      <c r="E446" s="391"/>
      <c r="F446" s="392"/>
      <c r="G446" s="393"/>
      <c r="H446" s="455"/>
      <c r="I446" s="391"/>
      <c r="J446" s="338"/>
      <c r="K446" s="339"/>
      <c r="L446" s="340"/>
      <c r="M446" s="400"/>
      <c r="N446" s="282"/>
    </row>
    <row r="447" spans="1:14" ht="23.25" customHeight="1" x14ac:dyDescent="0.2">
      <c r="A447" s="395"/>
      <c r="B447" s="393"/>
      <c r="C447" s="393"/>
      <c r="D447" s="390"/>
      <c r="E447" s="391"/>
      <c r="F447" s="392"/>
      <c r="G447" s="393"/>
      <c r="H447" s="455"/>
      <c r="I447" s="391"/>
      <c r="J447" s="338"/>
      <c r="K447" s="339"/>
      <c r="L447" s="340"/>
      <c r="M447" s="400"/>
      <c r="N447" s="282"/>
    </row>
    <row r="448" spans="1:14" ht="23.25" customHeight="1" x14ac:dyDescent="0.2">
      <c r="A448" s="395"/>
      <c r="B448" s="393"/>
      <c r="C448" s="393"/>
      <c r="D448" s="390"/>
      <c r="E448" s="391"/>
      <c r="F448" s="392"/>
      <c r="G448" s="393"/>
      <c r="H448" s="455"/>
      <c r="I448" s="391"/>
      <c r="J448" s="338"/>
      <c r="K448" s="339"/>
      <c r="L448" s="340"/>
      <c r="M448" s="400"/>
      <c r="N448" s="282"/>
    </row>
    <row r="449" spans="1:14" ht="23.25" customHeight="1" x14ac:dyDescent="0.2">
      <c r="A449" s="395"/>
      <c r="B449" s="393"/>
      <c r="C449" s="393"/>
      <c r="D449" s="390"/>
      <c r="E449" s="391"/>
      <c r="F449" s="392"/>
      <c r="G449" s="393"/>
      <c r="H449" s="455"/>
      <c r="I449" s="391"/>
      <c r="J449" s="338"/>
      <c r="K449" s="339"/>
      <c r="L449" s="340"/>
      <c r="M449" s="400"/>
      <c r="N449" s="282"/>
    </row>
    <row r="450" spans="1:14" ht="23.25" customHeight="1" x14ac:dyDescent="0.2">
      <c r="A450" s="395"/>
      <c r="B450" s="393"/>
      <c r="C450" s="393"/>
      <c r="D450" s="390"/>
      <c r="E450" s="391"/>
      <c r="F450" s="392"/>
      <c r="G450" s="393"/>
      <c r="H450" s="455"/>
      <c r="I450" s="391"/>
      <c r="J450" s="338"/>
      <c r="K450" s="339"/>
      <c r="L450" s="340"/>
      <c r="M450" s="400"/>
      <c r="N450" s="282"/>
    </row>
    <row r="451" spans="1:14" ht="23.25" customHeight="1" x14ac:dyDescent="0.2">
      <c r="A451" s="395"/>
      <c r="B451" s="393"/>
      <c r="C451" s="393"/>
      <c r="D451" s="390"/>
      <c r="E451" s="391"/>
      <c r="F451" s="392"/>
      <c r="G451" s="393"/>
      <c r="H451" s="455"/>
      <c r="I451" s="391"/>
      <c r="J451" s="338"/>
      <c r="K451" s="339"/>
      <c r="L451" s="340"/>
      <c r="M451" s="400"/>
      <c r="N451" s="282"/>
    </row>
    <row r="452" spans="1:14" ht="23.25" customHeight="1" x14ac:dyDescent="0.2">
      <c r="A452" s="395"/>
      <c r="B452" s="393"/>
      <c r="C452" s="393"/>
      <c r="D452" s="390"/>
      <c r="E452" s="391"/>
      <c r="F452" s="392"/>
      <c r="G452" s="393"/>
      <c r="H452" s="455"/>
      <c r="I452" s="391"/>
      <c r="J452" s="338"/>
      <c r="K452" s="339"/>
      <c r="L452" s="340"/>
      <c r="M452" s="400"/>
      <c r="N452" s="282"/>
    </row>
    <row r="453" spans="1:14" ht="23.25" customHeight="1" x14ac:dyDescent="0.2">
      <c r="A453" s="395"/>
      <c r="B453" s="393"/>
      <c r="C453" s="393"/>
      <c r="D453" s="390"/>
      <c r="E453" s="391"/>
      <c r="F453" s="392"/>
      <c r="G453" s="393"/>
      <c r="H453" s="455"/>
      <c r="I453" s="391"/>
      <c r="J453" s="338"/>
      <c r="K453" s="339"/>
      <c r="L453" s="340"/>
      <c r="M453" s="400"/>
      <c r="N453" s="282"/>
    </row>
    <row r="454" spans="1:14" ht="23.25" customHeight="1" x14ac:dyDescent="0.2">
      <c r="A454" s="395"/>
      <c r="B454" s="393"/>
      <c r="C454" s="393"/>
      <c r="D454" s="390"/>
      <c r="E454" s="391"/>
      <c r="F454" s="392"/>
      <c r="G454" s="393"/>
      <c r="H454" s="455"/>
      <c r="I454" s="391"/>
      <c r="J454" s="338"/>
      <c r="K454" s="339"/>
      <c r="L454" s="340"/>
      <c r="M454" s="400"/>
      <c r="N454" s="282"/>
    </row>
    <row r="455" spans="1:14" ht="23.25" customHeight="1" x14ac:dyDescent="0.2">
      <c r="A455" s="395"/>
      <c r="B455" s="393"/>
      <c r="C455" s="393"/>
      <c r="D455" s="390"/>
      <c r="E455" s="391"/>
      <c r="F455" s="392"/>
      <c r="G455" s="393"/>
      <c r="H455" s="455"/>
      <c r="I455" s="391"/>
      <c r="J455" s="338"/>
      <c r="K455" s="339"/>
      <c r="L455" s="340"/>
      <c r="M455" s="400"/>
      <c r="N455" s="282"/>
    </row>
    <row r="456" spans="1:14" ht="23.25" customHeight="1" x14ac:dyDescent="0.2">
      <c r="A456" s="395"/>
      <c r="B456" s="393"/>
      <c r="C456" s="393"/>
      <c r="D456" s="390"/>
      <c r="E456" s="391"/>
      <c r="F456" s="392"/>
      <c r="G456" s="393"/>
      <c r="H456" s="455"/>
      <c r="I456" s="391"/>
      <c r="J456" s="338"/>
      <c r="K456" s="339"/>
      <c r="L456" s="340"/>
      <c r="M456" s="400"/>
      <c r="N456" s="282"/>
    </row>
    <row r="457" spans="1:14" ht="23.25" customHeight="1" x14ac:dyDescent="0.2">
      <c r="A457" s="395"/>
      <c r="B457" s="393"/>
      <c r="C457" s="393"/>
      <c r="D457" s="390"/>
      <c r="E457" s="391"/>
      <c r="F457" s="392"/>
      <c r="G457" s="393"/>
      <c r="H457" s="455"/>
      <c r="I457" s="391"/>
      <c r="J457" s="338"/>
      <c r="K457" s="339"/>
      <c r="L457" s="340"/>
      <c r="M457" s="400"/>
      <c r="N457" s="282"/>
    </row>
    <row r="458" spans="1:14" ht="23.25" customHeight="1" x14ac:dyDescent="0.2">
      <c r="A458" s="395"/>
      <c r="B458" s="393"/>
      <c r="C458" s="393"/>
      <c r="D458" s="390"/>
      <c r="E458" s="391"/>
      <c r="F458" s="392"/>
      <c r="G458" s="393"/>
      <c r="H458" s="455"/>
      <c r="I458" s="391"/>
      <c r="J458" s="338"/>
      <c r="K458" s="339"/>
      <c r="L458" s="340"/>
      <c r="M458" s="400"/>
      <c r="N458" s="282"/>
    </row>
    <row r="459" spans="1:14" ht="23.25" customHeight="1" x14ac:dyDescent="0.2">
      <c r="A459" s="395"/>
      <c r="B459" s="393"/>
      <c r="C459" s="393"/>
      <c r="D459" s="390"/>
      <c r="E459" s="391"/>
      <c r="F459" s="392"/>
      <c r="G459" s="393"/>
      <c r="H459" s="455"/>
      <c r="I459" s="391"/>
      <c r="J459" s="338"/>
      <c r="K459" s="339"/>
      <c r="L459" s="340"/>
      <c r="M459" s="400"/>
      <c r="N459" s="282"/>
    </row>
    <row r="460" spans="1:14" ht="23.25" customHeight="1" x14ac:dyDescent="0.2">
      <c r="A460" s="395"/>
      <c r="B460" s="393"/>
      <c r="C460" s="393"/>
      <c r="D460" s="390"/>
      <c r="E460" s="391"/>
      <c r="F460" s="392"/>
      <c r="G460" s="393"/>
      <c r="H460" s="455"/>
      <c r="I460" s="391"/>
      <c r="J460" s="338"/>
      <c r="K460" s="339"/>
      <c r="L460" s="340"/>
      <c r="M460" s="400"/>
      <c r="N460" s="282"/>
    </row>
    <row r="461" spans="1:14" ht="23.25" customHeight="1" x14ac:dyDescent="0.2">
      <c r="A461" s="395"/>
      <c r="B461" s="393"/>
      <c r="C461" s="393"/>
      <c r="D461" s="390"/>
      <c r="E461" s="391"/>
      <c r="F461" s="392"/>
      <c r="G461" s="393"/>
      <c r="H461" s="455"/>
      <c r="I461" s="391"/>
      <c r="J461" s="338"/>
      <c r="K461" s="339"/>
      <c r="L461" s="340"/>
      <c r="M461" s="400"/>
      <c r="N461" s="282"/>
    </row>
    <row r="462" spans="1:14" ht="23.25" customHeight="1" x14ac:dyDescent="0.2">
      <c r="A462" s="395"/>
      <c r="B462" s="393"/>
      <c r="C462" s="393"/>
      <c r="D462" s="390"/>
      <c r="E462" s="391"/>
      <c r="F462" s="392"/>
      <c r="G462" s="393"/>
      <c r="H462" s="455"/>
      <c r="I462" s="391"/>
      <c r="J462" s="338"/>
      <c r="K462" s="339"/>
      <c r="L462" s="340"/>
      <c r="M462" s="400"/>
      <c r="N462" s="282"/>
    </row>
    <row r="463" spans="1:14" ht="23.25" customHeight="1" x14ac:dyDescent="0.2">
      <c r="A463" s="395"/>
      <c r="B463" s="393"/>
      <c r="C463" s="393"/>
      <c r="D463" s="390"/>
      <c r="E463" s="391"/>
      <c r="F463" s="392"/>
      <c r="G463" s="393"/>
      <c r="H463" s="455"/>
      <c r="I463" s="391"/>
      <c r="J463" s="338"/>
      <c r="K463" s="339"/>
      <c r="L463" s="340"/>
      <c r="M463" s="400"/>
      <c r="N463" s="282"/>
    </row>
    <row r="464" spans="1:14" ht="23.25" customHeight="1" x14ac:dyDescent="0.2">
      <c r="A464" s="395"/>
      <c r="B464" s="393"/>
      <c r="C464" s="393"/>
      <c r="D464" s="390"/>
      <c r="E464" s="391"/>
      <c r="F464" s="392"/>
      <c r="G464" s="393"/>
      <c r="H464" s="455"/>
      <c r="I464" s="391"/>
      <c r="J464" s="338"/>
      <c r="K464" s="339"/>
      <c r="L464" s="340"/>
      <c r="M464" s="400"/>
      <c r="N464" s="282"/>
    </row>
    <row r="465" spans="1:14" ht="23.25" customHeight="1" x14ac:dyDescent="0.2">
      <c r="A465" s="395"/>
      <c r="B465" s="393"/>
      <c r="C465" s="393"/>
      <c r="D465" s="390"/>
      <c r="E465" s="391"/>
      <c r="F465" s="392"/>
      <c r="G465" s="393"/>
      <c r="H465" s="455"/>
      <c r="I465" s="391"/>
      <c r="J465" s="338"/>
      <c r="K465" s="339"/>
      <c r="L465" s="340"/>
      <c r="M465" s="400"/>
      <c r="N465" s="282"/>
    </row>
    <row r="466" spans="1:14" ht="23.25" customHeight="1" x14ac:dyDescent="0.2">
      <c r="A466" s="395"/>
      <c r="B466" s="393"/>
      <c r="C466" s="393"/>
      <c r="D466" s="390"/>
      <c r="E466" s="391"/>
      <c r="F466" s="392"/>
      <c r="G466" s="393"/>
      <c r="H466" s="455"/>
      <c r="I466" s="391"/>
      <c r="J466" s="338"/>
      <c r="K466" s="339"/>
      <c r="L466" s="340"/>
      <c r="M466" s="400"/>
      <c r="N466" s="282"/>
    </row>
    <row r="467" spans="1:14" ht="23.25" customHeight="1" x14ac:dyDescent="0.2">
      <c r="A467" s="395"/>
      <c r="B467" s="393"/>
      <c r="C467" s="393"/>
      <c r="D467" s="390"/>
      <c r="E467" s="391"/>
      <c r="F467" s="392"/>
      <c r="G467" s="393"/>
      <c r="H467" s="455"/>
      <c r="I467" s="391"/>
      <c r="J467" s="338"/>
      <c r="K467" s="339"/>
      <c r="L467" s="340"/>
      <c r="M467" s="400"/>
      <c r="N467" s="282"/>
    </row>
    <row r="468" spans="1:14" ht="23.25" customHeight="1" x14ac:dyDescent="0.2">
      <c r="A468" s="395"/>
      <c r="B468" s="393"/>
      <c r="C468" s="393"/>
      <c r="D468" s="390"/>
      <c r="E468" s="391"/>
      <c r="F468" s="392"/>
      <c r="G468" s="393"/>
      <c r="H468" s="455"/>
      <c r="I468" s="391"/>
      <c r="J468" s="338"/>
      <c r="K468" s="339"/>
      <c r="L468" s="340"/>
      <c r="M468" s="400"/>
      <c r="N468" s="282"/>
    </row>
    <row r="469" spans="1:14" ht="23.25" customHeight="1" x14ac:dyDescent="0.2">
      <c r="A469" s="395"/>
      <c r="B469" s="393"/>
      <c r="C469" s="393"/>
      <c r="D469" s="390"/>
      <c r="E469" s="391"/>
      <c r="F469" s="392"/>
      <c r="G469" s="393"/>
      <c r="H469" s="455"/>
      <c r="I469" s="391"/>
      <c r="J469" s="338"/>
      <c r="K469" s="339"/>
      <c r="L469" s="340"/>
      <c r="M469" s="400"/>
      <c r="N469" s="282"/>
    </row>
    <row r="470" spans="1:14" ht="23.25" customHeight="1" x14ac:dyDescent="0.2">
      <c r="A470" s="395"/>
      <c r="B470" s="393"/>
      <c r="C470" s="393"/>
      <c r="D470" s="390"/>
      <c r="E470" s="391"/>
      <c r="F470" s="392"/>
      <c r="G470" s="393"/>
      <c r="H470" s="455"/>
      <c r="I470" s="391"/>
      <c r="J470" s="338"/>
      <c r="K470" s="339"/>
      <c r="L470" s="340"/>
      <c r="M470" s="400"/>
      <c r="N470" s="282"/>
    </row>
    <row r="471" spans="1:14" ht="23.25" customHeight="1" x14ac:dyDescent="0.2">
      <c r="A471" s="395"/>
      <c r="B471" s="393"/>
      <c r="C471" s="393"/>
      <c r="D471" s="390"/>
      <c r="E471" s="391"/>
      <c r="F471" s="392"/>
      <c r="G471" s="393"/>
      <c r="H471" s="455"/>
      <c r="I471" s="391"/>
      <c r="J471" s="338"/>
      <c r="K471" s="339"/>
      <c r="L471" s="340"/>
      <c r="M471" s="400"/>
      <c r="N471" s="282"/>
    </row>
    <row r="472" spans="1:14" ht="23.25" customHeight="1" x14ac:dyDescent="0.2">
      <c r="A472" s="395"/>
      <c r="B472" s="393"/>
      <c r="C472" s="393"/>
      <c r="D472" s="390"/>
      <c r="E472" s="391"/>
      <c r="F472" s="392"/>
      <c r="G472" s="393"/>
      <c r="H472" s="455"/>
      <c r="I472" s="391"/>
      <c r="J472" s="338"/>
      <c r="K472" s="339"/>
      <c r="L472" s="340"/>
      <c r="M472" s="400"/>
      <c r="N472" s="282"/>
    </row>
    <row r="473" spans="1:14" ht="23.25" customHeight="1" x14ac:dyDescent="0.2">
      <c r="A473" s="395"/>
      <c r="B473" s="393"/>
      <c r="C473" s="393"/>
      <c r="D473" s="390"/>
      <c r="E473" s="391"/>
      <c r="F473" s="392"/>
      <c r="G473" s="393"/>
      <c r="H473" s="455"/>
      <c r="I473" s="391"/>
      <c r="J473" s="338"/>
      <c r="K473" s="339"/>
      <c r="L473" s="340"/>
      <c r="M473" s="400"/>
      <c r="N473" s="282"/>
    </row>
    <row r="474" spans="1:14" ht="23.25" customHeight="1" x14ac:dyDescent="0.2">
      <c r="A474" s="395"/>
      <c r="B474" s="393"/>
      <c r="C474" s="393"/>
      <c r="D474" s="390"/>
      <c r="E474" s="391"/>
      <c r="F474" s="392"/>
      <c r="G474" s="393"/>
      <c r="H474" s="455"/>
      <c r="I474" s="391"/>
      <c r="J474" s="338"/>
      <c r="K474" s="339"/>
      <c r="L474" s="340"/>
      <c r="M474" s="400"/>
      <c r="N474" s="282"/>
    </row>
    <row r="475" spans="1:14" ht="23.25" customHeight="1" x14ac:dyDescent="0.2">
      <c r="A475" s="395"/>
      <c r="B475" s="393"/>
      <c r="C475" s="393"/>
      <c r="D475" s="390"/>
      <c r="E475" s="391"/>
      <c r="F475" s="392"/>
      <c r="G475" s="393"/>
      <c r="H475" s="455"/>
      <c r="I475" s="391"/>
      <c r="J475" s="338"/>
      <c r="K475" s="339"/>
      <c r="L475" s="340"/>
      <c r="M475" s="400"/>
      <c r="N475" s="282"/>
    </row>
    <row r="476" spans="1:14" ht="23.25" customHeight="1" x14ac:dyDescent="0.2">
      <c r="A476" s="395"/>
      <c r="B476" s="393"/>
      <c r="C476" s="393"/>
      <c r="D476" s="390"/>
      <c r="E476" s="391"/>
      <c r="F476" s="392"/>
      <c r="G476" s="393"/>
      <c r="H476" s="455"/>
      <c r="I476" s="391"/>
      <c r="J476" s="338"/>
      <c r="K476" s="339"/>
      <c r="L476" s="340"/>
      <c r="M476" s="400"/>
      <c r="N476" s="282"/>
    </row>
    <row r="477" spans="1:14" ht="23.25" customHeight="1" x14ac:dyDescent="0.2">
      <c r="A477" s="395"/>
      <c r="B477" s="393"/>
      <c r="C477" s="393"/>
      <c r="D477" s="390"/>
      <c r="E477" s="391"/>
      <c r="F477" s="392"/>
      <c r="G477" s="393"/>
      <c r="H477" s="455"/>
      <c r="I477" s="391"/>
      <c r="J477" s="338"/>
      <c r="K477" s="339"/>
      <c r="L477" s="340"/>
      <c r="M477" s="400"/>
      <c r="N477" s="282"/>
    </row>
    <row r="478" spans="1:14" ht="23.25" customHeight="1" x14ac:dyDescent="0.2">
      <c r="A478" s="395"/>
      <c r="B478" s="393"/>
      <c r="C478" s="393"/>
      <c r="D478" s="390"/>
      <c r="E478" s="391"/>
      <c r="F478" s="392"/>
      <c r="G478" s="393"/>
      <c r="H478" s="455"/>
      <c r="I478" s="391"/>
      <c r="J478" s="338"/>
      <c r="K478" s="339"/>
      <c r="L478" s="340"/>
      <c r="M478" s="400"/>
      <c r="N478" s="282"/>
    </row>
    <row r="479" spans="1:14" ht="23.25" customHeight="1" x14ac:dyDescent="0.2">
      <c r="A479" s="395"/>
      <c r="B479" s="393"/>
      <c r="C479" s="393"/>
      <c r="D479" s="390"/>
      <c r="E479" s="391"/>
      <c r="F479" s="392"/>
      <c r="G479" s="393"/>
      <c r="H479" s="455"/>
      <c r="I479" s="391"/>
      <c r="J479" s="338"/>
      <c r="K479" s="339"/>
      <c r="L479" s="340"/>
      <c r="M479" s="400"/>
      <c r="N479" s="282"/>
    </row>
    <row r="480" spans="1:14" ht="23.25" customHeight="1" x14ac:dyDescent="0.2">
      <c r="A480" s="395"/>
      <c r="B480" s="393"/>
      <c r="C480" s="393"/>
      <c r="D480" s="390"/>
      <c r="E480" s="391"/>
      <c r="F480" s="392"/>
      <c r="G480" s="393"/>
      <c r="H480" s="455"/>
      <c r="I480" s="391"/>
      <c r="J480" s="338"/>
      <c r="K480" s="339"/>
      <c r="L480" s="340"/>
      <c r="M480" s="400"/>
      <c r="N480" s="282"/>
    </row>
    <row r="481" spans="1:14" ht="23.25" customHeight="1" x14ac:dyDescent="0.2">
      <c r="A481" s="395"/>
      <c r="B481" s="393"/>
      <c r="C481" s="393"/>
      <c r="D481" s="390"/>
      <c r="E481" s="391"/>
      <c r="F481" s="392"/>
      <c r="G481" s="393"/>
      <c r="H481" s="455"/>
      <c r="I481" s="391"/>
      <c r="J481" s="338"/>
      <c r="K481" s="339"/>
      <c r="L481" s="340"/>
      <c r="M481" s="400"/>
      <c r="N481" s="282"/>
    </row>
    <row r="482" spans="1:14" ht="23.25" customHeight="1" x14ac:dyDescent="0.2">
      <c r="A482" s="395"/>
      <c r="B482" s="393"/>
      <c r="C482" s="393"/>
      <c r="D482" s="390"/>
      <c r="E482" s="391"/>
      <c r="F482" s="392"/>
      <c r="G482" s="393"/>
      <c r="H482" s="455"/>
      <c r="I482" s="391"/>
      <c r="J482" s="338"/>
      <c r="K482" s="339"/>
      <c r="L482" s="340"/>
      <c r="M482" s="400"/>
      <c r="N482" s="282"/>
    </row>
    <row r="483" spans="1:14" ht="23.25" customHeight="1" x14ac:dyDescent="0.2">
      <c r="A483" s="395"/>
      <c r="B483" s="393"/>
      <c r="C483" s="393"/>
      <c r="D483" s="390"/>
      <c r="E483" s="391"/>
      <c r="F483" s="392"/>
      <c r="G483" s="393"/>
      <c r="H483" s="455"/>
      <c r="I483" s="391"/>
      <c r="J483" s="338"/>
      <c r="K483" s="339"/>
      <c r="L483" s="340"/>
      <c r="M483" s="400"/>
      <c r="N483" s="282"/>
    </row>
    <row r="484" spans="1:14" ht="23.25" customHeight="1" x14ac:dyDescent="0.2">
      <c r="A484" s="395"/>
      <c r="B484" s="393"/>
      <c r="C484" s="393"/>
      <c r="D484" s="390"/>
      <c r="E484" s="391"/>
      <c r="F484" s="392"/>
      <c r="G484" s="393"/>
      <c r="H484" s="455"/>
      <c r="I484" s="391"/>
      <c r="J484" s="338"/>
      <c r="K484" s="339"/>
      <c r="L484" s="340"/>
      <c r="M484" s="400"/>
      <c r="N484" s="282"/>
    </row>
    <row r="485" spans="1:14" ht="23.25" customHeight="1" x14ac:dyDescent="0.2">
      <c r="A485" s="395"/>
      <c r="B485" s="393"/>
      <c r="C485" s="393"/>
      <c r="D485" s="390"/>
      <c r="E485" s="391"/>
      <c r="F485" s="392"/>
      <c r="G485" s="393"/>
      <c r="H485" s="455"/>
      <c r="I485" s="391"/>
      <c r="J485" s="338"/>
      <c r="K485" s="339"/>
      <c r="L485" s="340"/>
      <c r="M485" s="400"/>
      <c r="N485" s="282"/>
    </row>
    <row r="486" spans="1:14" ht="23.25" customHeight="1" x14ac:dyDescent="0.2">
      <c r="A486" s="395"/>
      <c r="B486" s="393"/>
      <c r="C486" s="393"/>
      <c r="D486" s="390"/>
      <c r="E486" s="391"/>
      <c r="F486" s="392"/>
      <c r="G486" s="393"/>
      <c r="H486" s="455"/>
      <c r="I486" s="391"/>
      <c r="J486" s="338"/>
      <c r="K486" s="339"/>
      <c r="L486" s="340"/>
      <c r="M486" s="400"/>
      <c r="N486" s="282"/>
    </row>
    <row r="487" spans="1:14" ht="23.25" customHeight="1" x14ac:dyDescent="0.2">
      <c r="A487" s="395"/>
      <c r="B487" s="393"/>
      <c r="C487" s="393"/>
      <c r="D487" s="390"/>
      <c r="E487" s="391"/>
      <c r="F487" s="392"/>
      <c r="G487" s="393"/>
      <c r="H487" s="455"/>
      <c r="I487" s="391"/>
      <c r="J487" s="338"/>
      <c r="K487" s="339"/>
      <c r="L487" s="340"/>
      <c r="M487" s="400"/>
      <c r="N487" s="282"/>
    </row>
    <row r="488" spans="1:14" ht="23.25" customHeight="1" x14ac:dyDescent="0.2">
      <c r="A488" s="395"/>
      <c r="B488" s="393"/>
      <c r="C488" s="393"/>
      <c r="D488" s="390"/>
      <c r="E488" s="391"/>
      <c r="F488" s="392"/>
      <c r="G488" s="393"/>
      <c r="H488" s="455"/>
      <c r="I488" s="391"/>
      <c r="J488" s="338"/>
      <c r="K488" s="339"/>
      <c r="L488" s="340"/>
      <c r="M488" s="400"/>
      <c r="N488" s="282"/>
    </row>
    <row r="489" spans="1:14" ht="23.25" customHeight="1" x14ac:dyDescent="0.2">
      <c r="A489" s="395"/>
      <c r="B489" s="393"/>
      <c r="C489" s="393"/>
      <c r="D489" s="390"/>
      <c r="E489" s="391"/>
      <c r="F489" s="392"/>
      <c r="G489" s="393"/>
      <c r="H489" s="455"/>
      <c r="I489" s="391"/>
      <c r="J489" s="338"/>
      <c r="K489" s="339"/>
      <c r="L489" s="340"/>
      <c r="M489" s="400"/>
      <c r="N489" s="282"/>
    </row>
    <row r="490" spans="1:14" ht="23.25" customHeight="1" x14ac:dyDescent="0.2">
      <c r="A490" s="395"/>
      <c r="B490" s="393"/>
      <c r="C490" s="393"/>
      <c r="D490" s="390"/>
      <c r="E490" s="391"/>
      <c r="F490" s="392"/>
      <c r="G490" s="393"/>
      <c r="H490" s="455"/>
      <c r="I490" s="391"/>
      <c r="J490" s="338"/>
      <c r="K490" s="339"/>
      <c r="L490" s="340"/>
      <c r="M490" s="400"/>
      <c r="N490" s="282"/>
    </row>
    <row r="491" spans="1:14" ht="23.25" customHeight="1" x14ac:dyDescent="0.2">
      <c r="A491" s="395"/>
      <c r="B491" s="393"/>
      <c r="C491" s="393"/>
      <c r="D491" s="390"/>
      <c r="E491" s="391"/>
      <c r="F491" s="392"/>
      <c r="G491" s="393"/>
      <c r="H491" s="455"/>
      <c r="I491" s="391"/>
      <c r="J491" s="338"/>
      <c r="K491" s="339"/>
      <c r="L491" s="340"/>
      <c r="M491" s="400"/>
      <c r="N491" s="282"/>
    </row>
    <row r="492" spans="1:14" ht="23.25" customHeight="1" x14ac:dyDescent="0.2">
      <c r="A492" s="395"/>
      <c r="B492" s="393"/>
      <c r="C492" s="393"/>
      <c r="D492" s="390"/>
      <c r="E492" s="391"/>
      <c r="F492" s="392"/>
      <c r="G492" s="393"/>
      <c r="H492" s="455"/>
      <c r="I492" s="391"/>
      <c r="J492" s="338"/>
      <c r="K492" s="339"/>
      <c r="L492" s="340"/>
      <c r="M492" s="400"/>
      <c r="N492" s="282"/>
    </row>
    <row r="493" spans="1:14" ht="23.25" customHeight="1" x14ac:dyDescent="0.2">
      <c r="A493" s="395"/>
      <c r="B493" s="393"/>
      <c r="C493" s="393"/>
      <c r="D493" s="390"/>
      <c r="E493" s="391"/>
      <c r="F493" s="392"/>
      <c r="G493" s="393"/>
      <c r="H493" s="455"/>
      <c r="I493" s="391"/>
      <c r="J493" s="338"/>
      <c r="K493" s="339"/>
      <c r="L493" s="340"/>
      <c r="M493" s="400"/>
      <c r="N493" s="282"/>
    </row>
    <row r="494" spans="1:14" ht="23.25" customHeight="1" x14ac:dyDescent="0.2">
      <c r="A494" s="395"/>
      <c r="B494" s="393"/>
      <c r="C494" s="393"/>
      <c r="D494" s="390"/>
      <c r="E494" s="391"/>
      <c r="F494" s="392"/>
      <c r="G494" s="393"/>
      <c r="H494" s="455"/>
      <c r="I494" s="391"/>
      <c r="J494" s="338"/>
      <c r="K494" s="339"/>
      <c r="L494" s="340"/>
      <c r="M494" s="400"/>
      <c r="N494" s="282"/>
    </row>
    <row r="495" spans="1:14" ht="23.25" customHeight="1" x14ac:dyDescent="0.2">
      <c r="A495" s="395"/>
      <c r="B495" s="393"/>
      <c r="C495" s="393"/>
      <c r="D495" s="390"/>
      <c r="E495" s="391"/>
      <c r="F495" s="392"/>
      <c r="G495" s="393"/>
      <c r="H495" s="455"/>
      <c r="I495" s="391"/>
      <c r="J495" s="338"/>
      <c r="K495" s="339"/>
      <c r="L495" s="340"/>
      <c r="M495" s="400"/>
      <c r="N495" s="282"/>
    </row>
    <row r="496" spans="1:14" ht="23.25" customHeight="1" x14ac:dyDescent="0.2">
      <c r="A496" s="395"/>
      <c r="B496" s="393"/>
      <c r="C496" s="393"/>
      <c r="D496" s="390"/>
      <c r="E496" s="391"/>
      <c r="F496" s="392"/>
      <c r="G496" s="393"/>
      <c r="H496" s="455"/>
      <c r="I496" s="391"/>
      <c r="J496" s="338"/>
      <c r="K496" s="339"/>
      <c r="L496" s="340"/>
      <c r="M496" s="400"/>
      <c r="N496" s="282"/>
    </row>
    <row r="497" spans="1:14" ht="23.25" customHeight="1" x14ac:dyDescent="0.2">
      <c r="A497" s="395"/>
      <c r="B497" s="393"/>
      <c r="C497" s="393"/>
      <c r="D497" s="390"/>
      <c r="E497" s="391"/>
      <c r="F497" s="392"/>
      <c r="G497" s="393"/>
      <c r="H497" s="455"/>
      <c r="I497" s="391"/>
      <c r="J497" s="338"/>
      <c r="K497" s="339"/>
      <c r="L497" s="340"/>
      <c r="M497" s="400"/>
      <c r="N497" s="282"/>
    </row>
    <row r="498" spans="1:14" ht="23.25" customHeight="1" x14ac:dyDescent="0.2">
      <c r="A498" s="395"/>
      <c r="B498" s="393"/>
      <c r="C498" s="393"/>
      <c r="D498" s="390"/>
      <c r="E498" s="391"/>
      <c r="F498" s="392"/>
      <c r="G498" s="393"/>
      <c r="H498" s="455"/>
      <c r="I498" s="391"/>
      <c r="J498" s="338"/>
      <c r="K498" s="339"/>
      <c r="L498" s="340"/>
      <c r="M498" s="400"/>
      <c r="N498" s="282"/>
    </row>
    <row r="499" spans="1:14" ht="23.25" customHeight="1" x14ac:dyDescent="0.2">
      <c r="A499" s="395"/>
      <c r="B499" s="393"/>
      <c r="C499" s="393"/>
      <c r="D499" s="390"/>
      <c r="E499" s="391"/>
      <c r="F499" s="392"/>
      <c r="G499" s="393"/>
      <c r="H499" s="455"/>
      <c r="I499" s="391"/>
      <c r="J499" s="338"/>
      <c r="K499" s="339"/>
      <c r="L499" s="340"/>
      <c r="M499" s="400"/>
      <c r="N499" s="282"/>
    </row>
    <row r="500" spans="1:14" ht="23.25" customHeight="1" x14ac:dyDescent="0.2">
      <c r="A500" s="395"/>
      <c r="B500" s="393"/>
      <c r="C500" s="393"/>
      <c r="D500" s="390"/>
      <c r="E500" s="391"/>
      <c r="F500" s="392"/>
      <c r="G500" s="393"/>
      <c r="H500" s="455"/>
      <c r="I500" s="391"/>
      <c r="J500" s="338"/>
      <c r="K500" s="339"/>
      <c r="L500" s="340"/>
      <c r="M500" s="400"/>
      <c r="N500" s="282"/>
    </row>
    <row r="501" spans="1:14" x14ac:dyDescent="0.2">
      <c r="A501" s="395"/>
      <c r="B501" s="393"/>
      <c r="C501" s="393"/>
      <c r="D501" s="390"/>
      <c r="E501" s="391"/>
      <c r="F501" s="392"/>
      <c r="G501" s="393"/>
      <c r="H501" s="455"/>
      <c r="I501" s="391"/>
      <c r="J501" s="338"/>
      <c r="K501" s="339"/>
      <c r="L501" s="340"/>
      <c r="M501" s="400"/>
      <c r="N501" s="282"/>
    </row>
    <row r="502" spans="1:14" x14ac:dyDescent="0.2">
      <c r="A502" s="401"/>
      <c r="B502" s="402"/>
      <c r="C502" s="402"/>
      <c r="D502" s="403"/>
      <c r="E502" s="404"/>
      <c r="F502" s="405"/>
      <c r="G502" s="402"/>
      <c r="H502" s="456"/>
      <c r="I502" s="404"/>
      <c r="J502" s="356"/>
      <c r="K502" s="357"/>
      <c r="L502" s="358"/>
      <c r="M502" s="406"/>
      <c r="N502" s="282"/>
    </row>
    <row r="503" spans="1:14" s="415" customFormat="1" ht="13.5" thickBot="1" x14ac:dyDescent="0.25">
      <c r="A503" s="407"/>
      <c r="B503" s="408"/>
      <c r="C503" s="408"/>
      <c r="D503" s="409"/>
      <c r="E503" s="410"/>
      <c r="F503" s="408"/>
      <c r="G503" s="408"/>
      <c r="H503" s="457"/>
      <c r="I503" s="410"/>
      <c r="J503" s="411"/>
      <c r="K503" s="412"/>
      <c r="L503" s="413"/>
      <c r="M503" s="413"/>
      <c r="N503" s="414"/>
    </row>
    <row r="504" spans="1:14" ht="13.5" thickTop="1" x14ac:dyDescent="0.2"/>
  </sheetData>
  <sheetProtection password="83C1" sheet="1" objects="1" scenarios="1"/>
  <mergeCells count="13">
    <mergeCell ref="A2:L2"/>
    <mergeCell ref="A4:L4"/>
    <mergeCell ref="B5:I5"/>
    <mergeCell ref="J5:L5"/>
    <mergeCell ref="B421:I421"/>
    <mergeCell ref="B84:I84"/>
    <mergeCell ref="B154:I154"/>
    <mergeCell ref="B226:I226"/>
    <mergeCell ref="B363:I363"/>
    <mergeCell ref="B6:E6"/>
    <mergeCell ref="F6:I6"/>
    <mergeCell ref="B28:I28"/>
    <mergeCell ref="B58:I58"/>
  </mergeCells>
  <phoneticPr fontId="58" type="noConversion"/>
  <hyperlinks>
    <hyperlink ref="A1" location="'תוכן הענינים'!A1" tooltip="לחץ להצגת גליון תוכן הענינים" display="הצג תוכן ענינים"/>
  </hyperlinks>
  <printOptions horizontalCentered="1"/>
  <pageMargins left="0.32" right="0.41" top="1" bottom="1" header="0.5" footer="0.5"/>
  <pageSetup paperSize="9" scale="75" orientation="landscape" blackAndWhite="1" verticalDpi="0" r:id="rId1"/>
  <headerFooter alignWithMargins="0">
    <oddHeader>&amp;Lבדיקות הצלבה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5"/>
  <dimension ref="A1:L402"/>
  <sheetViews>
    <sheetView showRowColHeaders="0" showZeros="0" rightToLeft="1" tabSelected="1" zoomScale="90" zoomScaleNormal="90" workbookViewId="0">
      <selection activeCell="D80" sqref="D80"/>
    </sheetView>
  </sheetViews>
  <sheetFormatPr defaultColWidth="9.140625" defaultRowHeight="12.75" x14ac:dyDescent="0.2"/>
  <cols>
    <col min="1" max="1" width="9.140625" style="42"/>
    <col min="2" max="2" width="31.85546875" style="42" customWidth="1"/>
    <col min="3" max="3" width="14.140625" style="42" customWidth="1"/>
    <col min="4" max="4" width="11.42578125" style="42" customWidth="1"/>
    <col min="5" max="5" width="1.85546875" style="42" customWidth="1"/>
    <col min="6" max="6" width="11.42578125" style="42" customWidth="1"/>
    <col min="7" max="7" width="2.140625" style="42" customWidth="1"/>
    <col min="8" max="8" width="5" style="42" bestFit="1" customWidth="1"/>
    <col min="9" max="9" width="4.5703125" style="42" customWidth="1"/>
    <col min="10" max="10" width="18.28515625" style="42" customWidth="1"/>
    <col min="11" max="11" width="5.140625" style="42" customWidth="1"/>
    <col min="12" max="12" width="3.7109375" style="42" hidden="1" customWidth="1"/>
    <col min="13" max="13" width="9.140625" style="42"/>
    <col min="14" max="14" width="5" style="42" bestFit="1" customWidth="1"/>
    <col min="15" max="15" width="5.140625" style="42" bestFit="1" customWidth="1"/>
    <col min="16" max="16" width="3.7109375" style="42" bestFit="1" customWidth="1"/>
    <col min="17" max="16384" width="9.140625" style="42"/>
  </cols>
  <sheetData>
    <row r="1" spans="1:12" ht="16.5" customHeight="1" thickTop="1" thickBot="1" x14ac:dyDescent="0.25">
      <c r="A1" s="41"/>
      <c r="B1" s="41"/>
      <c r="C1" s="626" t="str">
        <f>GufMevukar</f>
        <v>מ"א עמק הירדן</v>
      </c>
      <c r="D1" s="627"/>
      <c r="E1" s="627"/>
      <c r="F1" s="627"/>
      <c r="G1" s="627"/>
      <c r="H1" s="628"/>
      <c r="I1" s="41"/>
    </row>
    <row r="2" spans="1:12" ht="19.5" thickTop="1" thickBot="1" x14ac:dyDescent="0.25">
      <c r="A2" s="41"/>
      <c r="B2" s="41"/>
      <c r="C2" s="626" t="s">
        <v>587</v>
      </c>
      <c r="D2" s="627"/>
      <c r="E2" s="627"/>
      <c r="F2" s="627"/>
      <c r="G2" s="627"/>
      <c r="H2" s="628"/>
      <c r="I2" s="41"/>
    </row>
    <row r="3" spans="1:12" ht="19.5" thickTop="1" thickBot="1" x14ac:dyDescent="0.25">
      <c r="A3" s="41"/>
      <c r="B3" s="41"/>
      <c r="C3" s="629" t="str">
        <f>CONCATENATE("ליום ",Date, " ב", MonthTitle, " ", Shana)</f>
        <v>ליום 31 במרץ 2017</v>
      </c>
      <c r="D3" s="630"/>
      <c r="E3" s="630"/>
      <c r="F3" s="630"/>
      <c r="G3" s="630"/>
      <c r="H3" s="631"/>
      <c r="I3" s="41"/>
      <c r="L3" s="42" t="str">
        <f>'הגדרות כלליות'!G28</f>
        <v>כן</v>
      </c>
    </row>
    <row r="4" spans="1:12" ht="25.5" customHeight="1" thickTop="1" x14ac:dyDescent="0.2">
      <c r="A4" s="59" t="s">
        <v>584</v>
      </c>
      <c r="B4" s="59"/>
      <c r="C4" s="43"/>
      <c r="D4" s="586">
        <f>Shana</f>
        <v>2017</v>
      </c>
      <c r="E4" s="43"/>
      <c r="F4" s="586">
        <f>ShanaKodemet</f>
        <v>2016</v>
      </c>
      <c r="G4" s="43"/>
      <c r="H4" s="43"/>
      <c r="I4" s="44"/>
    </row>
    <row r="5" spans="1:12" ht="15.75" customHeight="1" x14ac:dyDescent="0.2">
      <c r="A5" s="43"/>
      <c r="B5" s="582" t="s">
        <v>402</v>
      </c>
      <c r="C5" s="583"/>
      <c r="D5" s="584">
        <f>D30-D55</f>
        <v>0</v>
      </c>
      <c r="E5" s="583"/>
      <c r="F5" s="584">
        <f>F30-F55</f>
        <v>0</v>
      </c>
      <c r="G5" s="585"/>
      <c r="H5" s="43"/>
      <c r="I5" s="44"/>
    </row>
    <row r="6" spans="1:12" x14ac:dyDescent="0.2">
      <c r="A6" s="43"/>
      <c r="B6" s="581"/>
      <c r="C6" s="581"/>
      <c r="D6" s="581"/>
      <c r="E6" s="581"/>
      <c r="F6" s="581"/>
      <c r="G6" s="581"/>
      <c r="H6" s="43"/>
      <c r="I6" s="44"/>
    </row>
    <row r="7" spans="1:12" ht="15" customHeight="1" x14ac:dyDescent="0.2">
      <c r="A7" s="43"/>
      <c r="B7" s="579" t="s">
        <v>588</v>
      </c>
      <c r="C7" s="579"/>
      <c r="D7" s="580" t="str">
        <f>CONCATENATE(Date,".",Month,".",RIGHT(Shana,2))</f>
        <v>31.3.17</v>
      </c>
      <c r="E7" s="580"/>
      <c r="F7" s="580" t="str">
        <f>CONCATENATE("31.12.",RIGHT(ShanaKodemet,2))</f>
        <v>31.12.16</v>
      </c>
      <c r="G7" s="579" t="s">
        <v>942</v>
      </c>
      <c r="H7" s="43"/>
      <c r="I7" s="44"/>
    </row>
    <row r="8" spans="1:12" ht="21" customHeight="1" x14ac:dyDescent="0.2">
      <c r="A8" s="43"/>
      <c r="B8" s="62" t="s">
        <v>591</v>
      </c>
      <c r="C8" s="47"/>
      <c r="D8" s="47"/>
      <c r="E8" s="47"/>
      <c r="F8" s="47"/>
      <c r="G8" s="61"/>
      <c r="H8" s="43"/>
      <c r="I8" s="44"/>
    </row>
    <row r="9" spans="1:12" x14ac:dyDescent="0.2">
      <c r="A9" s="43"/>
      <c r="B9" s="46" t="s">
        <v>592</v>
      </c>
      <c r="C9" s="47"/>
      <c r="D9" s="50">
        <f>477+2960+2958+42+2+55+5494+73+204+1050+232+961+9+346+24+2644-876-283-13-41-6+1</f>
        <v>16313</v>
      </c>
      <c r="E9" s="47"/>
      <c r="F9" s="63">
        <v>2299</v>
      </c>
      <c r="G9" s="61"/>
      <c r="H9" s="43"/>
      <c r="I9" s="44"/>
    </row>
    <row r="10" spans="1:12" x14ac:dyDescent="0.2">
      <c r="A10" s="43"/>
      <c r="B10" s="46" t="s">
        <v>593</v>
      </c>
      <c r="C10" s="47"/>
      <c r="D10" s="50">
        <f>6+24+135+6+13+3+43+17+152+234+8+108+104+86+195+899+10+999+50+100+1875+372-19-164-775+300+162</f>
        <v>4943</v>
      </c>
      <c r="E10" s="47"/>
      <c r="F10" s="63">
        <f>4290-5</f>
        <v>4285</v>
      </c>
      <c r="G10" s="61"/>
      <c r="H10" s="43"/>
      <c r="I10" s="44"/>
    </row>
    <row r="11" spans="1:12" x14ac:dyDescent="0.2">
      <c r="A11" s="43"/>
      <c r="B11" s="46" t="s">
        <v>594</v>
      </c>
      <c r="C11" s="47"/>
      <c r="D11" s="50">
        <f>23+6+11+1</f>
        <v>41</v>
      </c>
      <c r="E11" s="47"/>
      <c r="F11" s="63">
        <v>789</v>
      </c>
      <c r="G11" s="61"/>
      <c r="H11" s="43"/>
      <c r="I11" s="44"/>
    </row>
    <row r="12" spans="1:12" x14ac:dyDescent="0.2">
      <c r="A12" s="43"/>
      <c r="B12" s="46" t="s">
        <v>595</v>
      </c>
      <c r="C12" s="47"/>
      <c r="D12" s="51">
        <f>SUM(D9:D11)</f>
        <v>21297</v>
      </c>
      <c r="E12" s="47"/>
      <c r="F12" s="51">
        <f>SUM(F9:F11)</f>
        <v>7373</v>
      </c>
      <c r="G12" s="61"/>
      <c r="H12" s="43"/>
      <c r="I12" s="44"/>
    </row>
    <row r="13" spans="1:12" x14ac:dyDescent="0.2">
      <c r="A13" s="43"/>
      <c r="B13" s="46" t="s">
        <v>596</v>
      </c>
      <c r="C13" s="47"/>
      <c r="D13" s="64">
        <f>42+1363+1442+229+173+12191+3+3+3+3+37+35+177+147+3804+3838+3609+3686+1546</f>
        <v>32331</v>
      </c>
      <c r="E13" s="47"/>
      <c r="F13" s="64">
        <f>47020+1546</f>
        <v>48566</v>
      </c>
      <c r="G13" s="61"/>
      <c r="H13" s="43"/>
      <c r="I13" s="44"/>
    </row>
    <row r="14" spans="1:12" x14ac:dyDescent="0.2">
      <c r="A14" s="43"/>
      <c r="B14" s="46" t="s">
        <v>597</v>
      </c>
      <c r="C14" s="47"/>
      <c r="D14" s="50">
        <v>3209</v>
      </c>
      <c r="E14" s="47"/>
      <c r="F14" s="50">
        <v>3208</v>
      </c>
      <c r="G14" s="61"/>
      <c r="H14" s="43"/>
      <c r="I14" s="44"/>
    </row>
    <row r="15" spans="1:12" x14ac:dyDescent="0.2">
      <c r="A15" s="43"/>
      <c r="B15" s="46" t="s">
        <v>598</v>
      </c>
      <c r="C15" s="47"/>
      <c r="D15" s="51">
        <f>SUM(D13:D14)</f>
        <v>35540</v>
      </c>
      <c r="E15" s="47"/>
      <c r="F15" s="51">
        <f>SUM(F13:F14)</f>
        <v>51774</v>
      </c>
      <c r="G15" s="61"/>
      <c r="H15" s="43"/>
      <c r="I15" s="44"/>
    </row>
    <row r="16" spans="1:12" ht="15" customHeight="1" x14ac:dyDescent="0.2">
      <c r="A16" s="43"/>
      <c r="B16" s="65" t="s">
        <v>1</v>
      </c>
      <c r="C16" s="47"/>
      <c r="D16" s="47"/>
      <c r="E16" s="47"/>
      <c r="F16" s="47"/>
      <c r="G16" s="61"/>
      <c r="H16" s="43"/>
      <c r="I16" s="44"/>
    </row>
    <row r="17" spans="1:10" x14ac:dyDescent="0.2">
      <c r="A17" s="43"/>
      <c r="B17" s="46" t="s">
        <v>599</v>
      </c>
      <c r="C17" s="47"/>
      <c r="D17" s="50">
        <v>12514</v>
      </c>
      <c r="E17" s="47"/>
      <c r="F17" s="50">
        <v>12707</v>
      </c>
      <c r="G17" s="61"/>
      <c r="H17" s="43"/>
      <c r="I17" s="44"/>
    </row>
    <row r="18" spans="1:10" x14ac:dyDescent="0.2">
      <c r="A18" s="43"/>
      <c r="B18" s="46" t="s">
        <v>600</v>
      </c>
      <c r="C18" s="47"/>
      <c r="D18" s="50"/>
      <c r="E18" s="47"/>
      <c r="F18" s="50"/>
      <c r="G18" s="61"/>
      <c r="H18" s="43"/>
      <c r="I18" s="44"/>
    </row>
    <row r="19" spans="1:10" x14ac:dyDescent="0.2">
      <c r="A19" s="43"/>
      <c r="B19" s="46" t="s">
        <v>601</v>
      </c>
      <c r="C19" s="47"/>
      <c r="D19" s="50">
        <v>-86</v>
      </c>
      <c r="E19" s="47"/>
      <c r="F19" s="50">
        <v>-193</v>
      </c>
      <c r="G19" s="61"/>
      <c r="H19" s="43"/>
      <c r="I19" s="44"/>
    </row>
    <row r="20" spans="1:10" x14ac:dyDescent="0.2">
      <c r="A20" s="43"/>
      <c r="B20" s="46" t="s">
        <v>602</v>
      </c>
      <c r="C20" s="47"/>
      <c r="D20" s="51">
        <f>SUM(D17:D19)</f>
        <v>12428</v>
      </c>
      <c r="E20" s="47"/>
      <c r="F20" s="51">
        <f>SUM(F17:F19)</f>
        <v>12514</v>
      </c>
      <c r="G20" s="61"/>
      <c r="H20" s="43"/>
      <c r="I20" s="44"/>
    </row>
    <row r="21" spans="1:10" x14ac:dyDescent="0.2">
      <c r="A21" s="43"/>
      <c r="B21" s="66" t="s">
        <v>603</v>
      </c>
      <c r="C21" s="47"/>
      <c r="D21" s="67"/>
      <c r="E21" s="47"/>
      <c r="F21" s="67"/>
      <c r="G21" s="61"/>
      <c r="H21" s="43"/>
      <c r="I21" s="44"/>
    </row>
    <row r="22" spans="1:10" x14ac:dyDescent="0.2">
      <c r="A22" s="43"/>
      <c r="B22" s="46" t="s">
        <v>604</v>
      </c>
      <c r="C22" s="47"/>
      <c r="D22" s="67"/>
      <c r="E22" s="47"/>
      <c r="F22" s="67"/>
      <c r="G22" s="61"/>
      <c r="H22" s="43"/>
      <c r="I22" s="44"/>
    </row>
    <row r="23" spans="1:10" x14ac:dyDescent="0.2">
      <c r="A23" s="43" t="s">
        <v>605</v>
      </c>
      <c r="B23" s="66" t="s">
        <v>606</v>
      </c>
      <c r="C23" s="47"/>
      <c r="D23" s="51">
        <f>D21+D22</f>
        <v>0</v>
      </c>
      <c r="E23" s="47"/>
      <c r="F23" s="68">
        <f>F21+F22</f>
        <v>0</v>
      </c>
      <c r="G23" s="61"/>
      <c r="H23" s="43"/>
      <c r="I23" s="44"/>
    </row>
    <row r="24" spans="1:10" ht="6.75" customHeight="1" x14ac:dyDescent="0.2">
      <c r="A24" s="43"/>
      <c r="B24" s="46"/>
      <c r="C24" s="47"/>
      <c r="D24" s="69"/>
      <c r="E24" s="47"/>
      <c r="F24" s="69"/>
      <c r="G24" s="61"/>
      <c r="H24" s="43"/>
      <c r="I24" s="44"/>
    </row>
    <row r="25" spans="1:10" x14ac:dyDescent="0.2">
      <c r="A25" s="43"/>
      <c r="B25" s="65" t="str">
        <f>IF(OR(D28&lt;&gt;0,F28&lt;&gt;0),"גרעונות בתקציב הבלתי רגיל","")</f>
        <v>גרעונות בתקציב הבלתי רגיל</v>
      </c>
      <c r="C25" s="47"/>
      <c r="D25" s="69"/>
      <c r="E25" s="47"/>
      <c r="F25" s="69"/>
      <c r="G25" s="61"/>
      <c r="H25" s="43"/>
      <c r="I25" s="44"/>
    </row>
    <row r="26" spans="1:10" x14ac:dyDescent="0.2">
      <c r="A26" s="43"/>
      <c r="B26" s="66" t="str">
        <f>IF(OR(D28&lt;&gt;0,F28&lt;&gt;0),"גרעונות מימון זמניים","")</f>
        <v>גרעונות מימון זמניים</v>
      </c>
      <c r="C26" s="47"/>
      <c r="D26" s="70">
        <f>IF(תברים!D55&lt;0,תברים!D54,"")</f>
        <v>17341</v>
      </c>
      <c r="E26" s="47"/>
      <c r="F26" s="70" t="str">
        <f>IF(תברים!F55&lt;0,תברים!F54,"")</f>
        <v/>
      </c>
      <c r="G26" s="61"/>
      <c r="H26" s="43"/>
      <c r="I26" s="44"/>
    </row>
    <row r="27" spans="1:10" x14ac:dyDescent="0.2">
      <c r="A27" s="43"/>
      <c r="B27" s="66" t="str">
        <f>IF(OR(D28&lt;&gt;0,F28&lt;&gt;0),"עודפי מימון זמניים","")</f>
        <v>עודפי מימון זמניים</v>
      </c>
      <c r="C27" s="47"/>
      <c r="D27" s="71">
        <f>IF(תברים!D55&lt;0,-1*(תברים!D53),"")</f>
        <v>-13834</v>
      </c>
      <c r="E27" s="47"/>
      <c r="F27" s="71" t="str">
        <f>IF(תברים!F55&lt;0,-1*(תברים!F53),"")</f>
        <v/>
      </c>
      <c r="G27" s="61"/>
      <c r="H27" s="43"/>
      <c r="I27" s="44"/>
    </row>
    <row r="28" spans="1:10" x14ac:dyDescent="0.2">
      <c r="A28" s="43"/>
      <c r="B28" s="66" t="str">
        <f>IF(OR(D28&lt;&gt;0,F28&lt;&gt;0),"גרעון נטו","")</f>
        <v>גרעון נטו</v>
      </c>
      <c r="C28" s="47"/>
      <c r="D28" s="68">
        <f>SUM(D26:D27)</f>
        <v>3507</v>
      </c>
      <c r="E28" s="47"/>
      <c r="F28" s="68">
        <f>SUM(F26:F27)</f>
        <v>0</v>
      </c>
      <c r="G28" s="61"/>
      <c r="H28" s="43"/>
      <c r="I28" s="44"/>
    </row>
    <row r="29" spans="1:10" ht="6.75" customHeight="1" x14ac:dyDescent="0.2">
      <c r="A29" s="43"/>
      <c r="B29" s="66"/>
      <c r="C29" s="47"/>
      <c r="D29" s="69"/>
      <c r="E29" s="47"/>
      <c r="F29" s="69"/>
      <c r="G29" s="61"/>
      <c r="H29" s="43"/>
      <c r="I29" s="44"/>
    </row>
    <row r="30" spans="1:10" ht="13.5" thickBot="1" x14ac:dyDescent="0.25">
      <c r="A30" s="43"/>
      <c r="B30" s="46" t="s">
        <v>607</v>
      </c>
      <c r="C30" s="47"/>
      <c r="D30" s="72">
        <f>D12+D15+D20+D23+D28</f>
        <v>72772</v>
      </c>
      <c r="E30" s="47"/>
      <c r="F30" s="73">
        <f>F12+F15+F20+F23+F28</f>
        <v>71661</v>
      </c>
      <c r="G30" s="61"/>
      <c r="H30" s="43"/>
      <c r="I30" s="44"/>
    </row>
    <row r="31" spans="1:10" ht="30" customHeight="1" thickTop="1" x14ac:dyDescent="0.2">
      <c r="A31" s="43"/>
      <c r="B31" s="62" t="s">
        <v>608</v>
      </c>
      <c r="C31" s="47"/>
      <c r="D31" s="47"/>
      <c r="E31" s="47"/>
      <c r="F31" s="47"/>
      <c r="G31" s="61"/>
      <c r="H31" s="43"/>
      <c r="I31" s="44"/>
      <c r="J31" s="74"/>
    </row>
    <row r="32" spans="1:10" hidden="1" x14ac:dyDescent="0.2">
      <c r="A32" s="43"/>
      <c r="B32" s="65" t="s">
        <v>609</v>
      </c>
      <c r="C32" s="47"/>
      <c r="D32" s="47"/>
      <c r="E32" s="47"/>
      <c r="F32" s="47"/>
      <c r="G32" s="61"/>
      <c r="H32" s="43"/>
      <c r="I32" s="44"/>
    </row>
    <row r="33" spans="1:9" x14ac:dyDescent="0.2">
      <c r="A33" s="43"/>
      <c r="B33" s="46" t="s">
        <v>610</v>
      </c>
      <c r="C33" s="47"/>
      <c r="D33" s="50"/>
      <c r="E33" s="47"/>
      <c r="F33" s="50">
        <v>0</v>
      </c>
      <c r="G33" s="61"/>
      <c r="H33" s="43"/>
      <c r="I33" s="44"/>
    </row>
    <row r="34" spans="1:9" x14ac:dyDescent="0.2">
      <c r="A34" s="43"/>
      <c r="B34" s="66" t="s">
        <v>611</v>
      </c>
      <c r="C34" s="47"/>
      <c r="D34" s="50">
        <f>157+14+28</f>
        <v>199</v>
      </c>
      <c r="E34" s="47"/>
      <c r="F34" s="50">
        <f>14+184</f>
        <v>198</v>
      </c>
      <c r="G34" s="61"/>
      <c r="H34" s="43"/>
      <c r="I34" s="44"/>
    </row>
    <row r="35" spans="1:9" x14ac:dyDescent="0.2">
      <c r="A35" s="43"/>
      <c r="B35" s="66" t="s">
        <v>2</v>
      </c>
      <c r="C35" s="47"/>
      <c r="D35" s="589">
        <f>4899-18+227+96+53+53+119</f>
        <v>5429</v>
      </c>
      <c r="E35" s="47"/>
      <c r="F35" s="50">
        <f>1546+3194</f>
        <v>4740</v>
      </c>
      <c r="G35" s="61"/>
      <c r="H35" s="43"/>
      <c r="I35" s="44"/>
    </row>
    <row r="36" spans="1:9" x14ac:dyDescent="0.2">
      <c r="A36" s="43"/>
      <c r="B36" s="66" t="s">
        <v>3</v>
      </c>
      <c r="C36" s="47"/>
      <c r="D36" s="50">
        <f>26-26-17-4+10610+2191-27-75+3515-19-164-775+1030+84+1+(280-103+150+222+105+37.5+37.5+50)+2-25</f>
        <v>17106</v>
      </c>
      <c r="E36" s="47"/>
      <c r="F36" s="50">
        <f>7329+8554+60+500</f>
        <v>16443</v>
      </c>
      <c r="G36" s="61"/>
      <c r="H36" s="43"/>
      <c r="I36" s="44"/>
    </row>
    <row r="37" spans="1:9" x14ac:dyDescent="0.2">
      <c r="A37" s="43"/>
      <c r="B37" s="46" t="s">
        <v>612</v>
      </c>
      <c r="C37" s="47"/>
      <c r="D37" s="47"/>
      <c r="E37" s="47"/>
      <c r="F37" s="47"/>
      <c r="G37" s="61"/>
      <c r="H37" s="43"/>
      <c r="I37" s="44"/>
    </row>
    <row r="38" spans="1:9" x14ac:dyDescent="0.2">
      <c r="A38" s="43"/>
      <c r="B38" s="46" t="s">
        <v>613</v>
      </c>
      <c r="C38" s="47"/>
      <c r="D38" s="50">
        <f>3624+50</f>
        <v>3674</v>
      </c>
      <c r="E38" s="47"/>
      <c r="F38" s="50">
        <v>52</v>
      </c>
      <c r="G38" s="61"/>
      <c r="H38" s="43"/>
      <c r="I38" s="44"/>
    </row>
    <row r="39" spans="1:9" ht="12.75" customHeight="1" x14ac:dyDescent="0.2">
      <c r="A39" s="43"/>
      <c r="B39" s="46" t="s">
        <v>614</v>
      </c>
      <c r="C39" s="47"/>
      <c r="D39" s="51">
        <f>SUM(D33:D38)</f>
        <v>26408</v>
      </c>
      <c r="E39" s="47"/>
      <c r="F39" s="51">
        <f>SUM(F33:F38)</f>
        <v>21433</v>
      </c>
      <c r="G39" s="61"/>
      <c r="H39" s="43"/>
      <c r="I39" s="44"/>
    </row>
    <row r="40" spans="1:9" ht="12.75" customHeight="1" x14ac:dyDescent="0.2">
      <c r="A40" s="43"/>
      <c r="B40" s="65" t="s">
        <v>615</v>
      </c>
      <c r="C40" s="47"/>
      <c r="D40" s="47"/>
      <c r="E40" s="47"/>
      <c r="F40" s="47"/>
      <c r="G40" s="61"/>
      <c r="H40" s="43"/>
      <c r="I40" s="44"/>
    </row>
    <row r="41" spans="1:9" ht="12.75" customHeight="1" x14ac:dyDescent="0.2">
      <c r="A41" s="43"/>
      <c r="B41" s="66" t="s">
        <v>941</v>
      </c>
      <c r="C41" s="47"/>
      <c r="D41" s="50">
        <f>6999+238+4842+2678+21+20+263+18019+23+137+8722+59+54+357+168+2020+21+4+622+9+315+39+172+158+360+2324+241+450-6999+1069-250</f>
        <v>43155</v>
      </c>
      <c r="E41" s="47"/>
      <c r="F41" s="50">
        <v>40876</v>
      </c>
      <c r="G41" s="61"/>
      <c r="H41" s="43"/>
      <c r="I41" s="44"/>
    </row>
    <row r="42" spans="1:9" ht="1.5" customHeight="1" x14ac:dyDescent="0.2">
      <c r="A42" s="43"/>
      <c r="B42" s="46"/>
      <c r="C42" s="47"/>
      <c r="D42" s="247"/>
      <c r="E42" s="47"/>
      <c r="F42" s="247"/>
      <c r="G42" s="61"/>
      <c r="H42" s="43"/>
      <c r="I42" s="44"/>
    </row>
    <row r="43" spans="1:9" x14ac:dyDescent="0.2">
      <c r="A43" s="43"/>
      <c r="B43" s="66" t="s">
        <v>447</v>
      </c>
      <c r="C43" s="47"/>
      <c r="D43" s="64">
        <v>3209</v>
      </c>
      <c r="E43" s="47"/>
      <c r="F43" s="64">
        <v>3208</v>
      </c>
      <c r="G43" s="61"/>
      <c r="H43" s="43"/>
      <c r="I43" s="44"/>
    </row>
    <row r="44" spans="1:9" x14ac:dyDescent="0.2">
      <c r="A44" s="43"/>
      <c r="B44" s="65" t="s">
        <v>617</v>
      </c>
      <c r="C44" s="47"/>
      <c r="D44" s="47"/>
      <c r="E44" s="47"/>
      <c r="F44" s="47"/>
      <c r="G44" s="61"/>
      <c r="H44" s="43"/>
      <c r="I44" s="44"/>
    </row>
    <row r="45" spans="1:9" x14ac:dyDescent="0.2">
      <c r="A45" s="43"/>
      <c r="B45" s="46" t="s">
        <v>618</v>
      </c>
      <c r="C45" s="47"/>
      <c r="D45" s="50"/>
      <c r="E45" s="47"/>
      <c r="F45" s="50"/>
      <c r="G45" s="61"/>
      <c r="H45" s="43"/>
      <c r="I45" s="44"/>
    </row>
    <row r="46" spans="1:9" x14ac:dyDescent="0.2">
      <c r="A46" s="43"/>
      <c r="B46" s="66" t="s">
        <v>619</v>
      </c>
      <c r="C46" s="47"/>
      <c r="D46" s="50"/>
      <c r="E46" s="47"/>
      <c r="F46" s="50"/>
      <c r="G46" s="61"/>
      <c r="H46" s="43"/>
      <c r="I46" s="44"/>
    </row>
    <row r="47" spans="1:9" ht="12.75" customHeight="1" x14ac:dyDescent="0.2">
      <c r="A47" s="43"/>
      <c r="B47" s="46" t="s">
        <v>620</v>
      </c>
      <c r="C47" s="47"/>
      <c r="D47" s="51">
        <f>D45+D46</f>
        <v>0</v>
      </c>
      <c r="E47" s="47"/>
      <c r="F47" s="51">
        <f>F45+F46</f>
        <v>0</v>
      </c>
      <c r="G47" s="61"/>
      <c r="H47" s="43"/>
      <c r="I47" s="44"/>
    </row>
    <row r="48" spans="1:9" ht="4.5" customHeight="1" x14ac:dyDescent="0.2">
      <c r="A48" s="43"/>
      <c r="B48" s="46"/>
      <c r="C48" s="47"/>
      <c r="D48" s="47"/>
      <c r="E48" s="47"/>
      <c r="F48" s="47"/>
      <c r="G48" s="61"/>
      <c r="H48" s="43"/>
      <c r="I48" s="44"/>
    </row>
    <row r="49" spans="1:9" ht="12.75" customHeight="1" x14ac:dyDescent="0.2">
      <c r="A49" s="43"/>
      <c r="B49" s="66" t="s">
        <v>621</v>
      </c>
      <c r="C49" s="47"/>
      <c r="D49" s="50"/>
      <c r="E49" s="47"/>
      <c r="F49" s="50"/>
      <c r="G49" s="61"/>
      <c r="H49" s="43"/>
      <c r="I49" s="44"/>
    </row>
    <row r="50" spans="1:9" ht="3.75" customHeight="1" x14ac:dyDescent="0.2">
      <c r="A50" s="43"/>
      <c r="B50" s="66"/>
      <c r="C50" s="47"/>
      <c r="D50" s="75"/>
      <c r="E50" s="47"/>
      <c r="F50" s="75"/>
      <c r="G50" s="61"/>
      <c r="H50" s="43"/>
      <c r="I50" s="44"/>
    </row>
    <row r="51" spans="1:9" ht="12.75" customHeight="1" x14ac:dyDescent="0.2">
      <c r="A51" s="43"/>
      <c r="B51" s="65" t="str">
        <f>IF(OR(תברים!D55&gt;=0,תברים!F55),"עודפים בתקציב הבלתי רגיל","")</f>
        <v>עודפים בתקציב הבלתי רגיל</v>
      </c>
      <c r="C51" s="47"/>
      <c r="D51" s="75"/>
      <c r="E51" s="47"/>
      <c r="F51" s="75"/>
      <c r="G51" s="61"/>
      <c r="H51" s="43"/>
      <c r="I51" s="44"/>
    </row>
    <row r="52" spans="1:9" ht="12.75" customHeight="1" x14ac:dyDescent="0.2">
      <c r="A52" s="43"/>
      <c r="B52" s="66" t="str">
        <f>IF(OR(תברים!D55&gt;=0,תברים!F55),"עודפי מימון זמניים","")</f>
        <v>עודפי מימון זמניים</v>
      </c>
      <c r="C52" s="47"/>
      <c r="D52" s="76">
        <f>IF(תברים!D55&gt;=0,(תברים!D53),0)</f>
        <v>0</v>
      </c>
      <c r="E52" s="47"/>
      <c r="F52" s="76">
        <f>IF(תברים!F55&gt;=0,(תברים!F53),0)</f>
        <v>40272</v>
      </c>
      <c r="G52" s="61"/>
      <c r="H52" s="43"/>
      <c r="I52" s="44"/>
    </row>
    <row r="53" spans="1:9" ht="12.75" customHeight="1" x14ac:dyDescent="0.2">
      <c r="A53" s="43"/>
      <c r="B53" s="66" t="str">
        <f>IF(OR(תברים!D55&gt;=0,תברים!F55),"גרעונות מימון זמניים","")</f>
        <v>גרעונות מימון זמניים</v>
      </c>
      <c r="C53" s="47"/>
      <c r="D53" s="76">
        <f>IF(תברים!D55&gt;=0,-1*(תברים!D54),0)</f>
        <v>0</v>
      </c>
      <c r="E53" s="47"/>
      <c r="F53" s="76">
        <f>IF(תברים!F55&gt;=0,-1*(תברים!F54),0)</f>
        <v>-34128</v>
      </c>
      <c r="G53" s="61"/>
      <c r="H53" s="43"/>
      <c r="I53" s="44"/>
    </row>
    <row r="54" spans="1:9" ht="4.5" customHeight="1" x14ac:dyDescent="0.2">
      <c r="A54" s="43"/>
      <c r="B54" s="46"/>
      <c r="C54" s="47"/>
      <c r="D54" s="47"/>
      <c r="E54" s="47"/>
      <c r="F54" s="47"/>
      <c r="G54" s="61"/>
      <c r="H54" s="43"/>
      <c r="I54" s="44"/>
    </row>
    <row r="55" spans="1:9" ht="13.5" thickBot="1" x14ac:dyDescent="0.25">
      <c r="A55" s="43"/>
      <c r="B55" s="46" t="s">
        <v>622</v>
      </c>
      <c r="C55" s="47"/>
      <c r="D55" s="73">
        <f>D39+D41+D43+D47+D49+D52+D53</f>
        <v>72772</v>
      </c>
      <c r="E55" s="47"/>
      <c r="F55" s="73">
        <f>F39+F41+F43+F47+F49+F52+F53</f>
        <v>71661</v>
      </c>
      <c r="G55" s="61"/>
      <c r="H55" s="43"/>
      <c r="I55" s="44"/>
    </row>
    <row r="56" spans="1:9" ht="13.5" thickTop="1" x14ac:dyDescent="0.2">
      <c r="A56" s="43"/>
      <c r="B56" s="526"/>
      <c r="C56" s="47"/>
      <c r="D56" s="47"/>
      <c r="E56" s="47"/>
      <c r="F56" s="47"/>
      <c r="G56" s="61"/>
      <c r="H56" s="43"/>
      <c r="I56" s="44"/>
    </row>
    <row r="57" spans="1:9" x14ac:dyDescent="0.2">
      <c r="A57" s="43"/>
      <c r="B57" s="65" t="s">
        <v>623</v>
      </c>
      <c r="C57" s="47"/>
      <c r="D57" s="47"/>
      <c r="E57" s="47"/>
      <c r="F57" s="47"/>
      <c r="G57" s="61"/>
      <c r="H57" s="43"/>
      <c r="I57" s="44"/>
    </row>
    <row r="58" spans="1:9" x14ac:dyDescent="0.2">
      <c r="A58" s="43"/>
      <c r="B58" s="46" t="s">
        <v>624</v>
      </c>
      <c r="C58" s="47"/>
      <c r="D58" s="50">
        <f>16303-162-31-4546-6-527</f>
        <v>11031</v>
      </c>
      <c r="E58" s="47"/>
      <c r="F58" s="50">
        <v>11591</v>
      </c>
      <c r="G58" s="61"/>
      <c r="H58" s="43"/>
      <c r="I58" s="44"/>
    </row>
    <row r="59" spans="1:9" x14ac:dyDescent="0.2">
      <c r="A59" s="43"/>
      <c r="B59" s="77" t="s">
        <v>625</v>
      </c>
      <c r="C59" s="47"/>
      <c r="D59" s="50">
        <v>59831</v>
      </c>
      <c r="E59" s="47"/>
      <c r="F59" s="50">
        <v>61322</v>
      </c>
      <c r="G59" s="61"/>
      <c r="H59" s="43"/>
      <c r="I59" s="44"/>
    </row>
    <row r="60" spans="1:9" x14ac:dyDescent="0.2">
      <c r="A60" s="43"/>
      <c r="B60" s="46" t="s">
        <v>626</v>
      </c>
      <c r="C60" s="47"/>
      <c r="D60" s="50"/>
      <c r="E60" s="47"/>
      <c r="F60" s="50"/>
      <c r="G60" s="61"/>
      <c r="H60" s="43"/>
      <c r="I60" s="44"/>
    </row>
    <row r="61" spans="1:9" x14ac:dyDescent="0.2">
      <c r="A61" s="43"/>
      <c r="B61" s="65" t="s">
        <v>4</v>
      </c>
      <c r="C61" s="47"/>
      <c r="D61" s="47"/>
      <c r="E61" s="47"/>
      <c r="F61" s="47"/>
      <c r="G61" s="61"/>
      <c r="H61" s="43"/>
      <c r="I61" s="44"/>
    </row>
    <row r="62" spans="1:9" x14ac:dyDescent="0.2">
      <c r="A62" s="43"/>
      <c r="B62" s="46" t="s">
        <v>627</v>
      </c>
      <c r="C62" s="47"/>
      <c r="D62" s="50"/>
      <c r="E62" s="47"/>
      <c r="F62" s="50"/>
      <c r="G62" s="61"/>
      <c r="H62" s="43"/>
      <c r="I62" s="44"/>
    </row>
    <row r="63" spans="1:9" x14ac:dyDescent="0.2">
      <c r="A63" s="43"/>
      <c r="B63" s="46" t="s">
        <v>628</v>
      </c>
      <c r="C63" s="47"/>
      <c r="D63" s="50"/>
      <c r="E63" s="47"/>
      <c r="F63" s="50"/>
      <c r="G63" s="61"/>
      <c r="H63" s="43"/>
      <c r="I63" s="44"/>
    </row>
    <row r="64" spans="1:9" x14ac:dyDescent="0.2">
      <c r="A64" s="43"/>
      <c r="B64" s="66" t="s">
        <v>5</v>
      </c>
      <c r="C64" s="47"/>
      <c r="D64" s="50"/>
      <c r="E64" s="47"/>
      <c r="F64" s="50"/>
      <c r="G64" s="61"/>
      <c r="H64" s="43"/>
      <c r="I64" s="44"/>
    </row>
    <row r="65" spans="1:9" x14ac:dyDescent="0.2">
      <c r="A65" s="43"/>
      <c r="B65" s="46" t="s">
        <v>630</v>
      </c>
      <c r="C65" s="47"/>
      <c r="D65" s="50"/>
      <c r="E65" s="47"/>
      <c r="F65" s="50"/>
      <c r="G65" s="61"/>
      <c r="H65" s="43"/>
      <c r="I65" s="44"/>
    </row>
    <row r="66" spans="1:9" ht="13.5" thickBot="1" x14ac:dyDescent="0.25">
      <c r="A66" s="43"/>
      <c r="B66" s="46" t="s">
        <v>631</v>
      </c>
      <c r="C66" s="47"/>
      <c r="D66" s="73">
        <f>SUM(D62:D65)</f>
        <v>0</v>
      </c>
      <c r="E66" s="47"/>
      <c r="F66" s="73">
        <f>SUM(F62:F65)</f>
        <v>0</v>
      </c>
      <c r="G66" s="61"/>
      <c r="H66" s="43"/>
      <c r="I66" s="44"/>
    </row>
    <row r="67" spans="1:9" ht="13.5" thickTop="1" x14ac:dyDescent="0.2">
      <c r="A67" s="43"/>
      <c r="B67" s="78" t="s">
        <v>632</v>
      </c>
      <c r="C67" s="47"/>
      <c r="D67" s="47"/>
      <c r="E67" s="47"/>
      <c r="F67" s="47"/>
      <c r="G67" s="61"/>
      <c r="H67" s="43"/>
      <c r="I67" s="44"/>
    </row>
    <row r="68" spans="1:9" x14ac:dyDescent="0.2">
      <c r="A68" s="43"/>
      <c r="B68" s="46" t="s">
        <v>627</v>
      </c>
      <c r="C68" s="47"/>
      <c r="D68" s="50"/>
      <c r="E68" s="47"/>
      <c r="F68" s="50"/>
      <c r="G68" s="61"/>
      <c r="H68" s="43"/>
      <c r="I68" s="44"/>
    </row>
    <row r="69" spans="1:9" x14ac:dyDescent="0.2">
      <c r="A69" s="43"/>
      <c r="B69" s="46" t="s">
        <v>628</v>
      </c>
      <c r="C69" s="47"/>
      <c r="D69" s="50"/>
      <c r="E69" s="47"/>
      <c r="F69" s="50"/>
      <c r="G69" s="61"/>
      <c r="H69" s="43"/>
      <c r="I69" s="44"/>
    </row>
    <row r="70" spans="1:9" x14ac:dyDescent="0.2">
      <c r="A70" s="43"/>
      <c r="B70" s="46" t="s">
        <v>629</v>
      </c>
      <c r="C70" s="47"/>
      <c r="D70" s="50"/>
      <c r="E70" s="47"/>
      <c r="F70" s="50"/>
      <c r="G70" s="61"/>
      <c r="H70" s="43"/>
      <c r="I70" s="44"/>
    </row>
    <row r="71" spans="1:9" x14ac:dyDescent="0.2">
      <c r="A71" s="43"/>
      <c r="B71" s="46" t="s">
        <v>630</v>
      </c>
      <c r="C71" s="47"/>
      <c r="D71" s="50"/>
      <c r="E71" s="47"/>
      <c r="F71" s="50"/>
      <c r="G71" s="61"/>
      <c r="H71" s="43"/>
      <c r="I71" s="44"/>
    </row>
    <row r="72" spans="1:9" ht="13.5" thickBot="1" x14ac:dyDescent="0.25">
      <c r="A72" s="43"/>
      <c r="B72" s="46" t="s">
        <v>631</v>
      </c>
      <c r="C72" s="47"/>
      <c r="D72" s="73">
        <f>SUM(D68:D71)</f>
        <v>0</v>
      </c>
      <c r="E72" s="47"/>
      <c r="F72" s="73">
        <f>SUM(F68:F71)</f>
        <v>0</v>
      </c>
      <c r="G72" s="61"/>
      <c r="H72" s="43"/>
      <c r="I72" s="44"/>
    </row>
    <row r="73" spans="1:9" ht="13.5" thickTop="1" x14ac:dyDescent="0.2">
      <c r="A73" s="43"/>
      <c r="B73" s="65" t="s">
        <v>846</v>
      </c>
      <c r="C73" s="47"/>
      <c r="D73" s="47"/>
      <c r="E73" s="47"/>
      <c r="F73" s="47"/>
      <c r="G73" s="61"/>
      <c r="H73" s="43"/>
      <c r="I73" s="44"/>
    </row>
    <row r="74" spans="1:9" x14ac:dyDescent="0.2">
      <c r="A74" s="43"/>
      <c r="B74" s="46" t="s">
        <v>633</v>
      </c>
      <c r="C74" s="47"/>
      <c r="D74" s="50"/>
      <c r="E74" s="47"/>
      <c r="F74" s="50"/>
      <c r="G74" s="61"/>
      <c r="H74" s="43"/>
      <c r="I74" s="44"/>
    </row>
    <row r="75" spans="1:9" x14ac:dyDescent="0.2">
      <c r="A75" s="43"/>
      <c r="B75" s="46" t="s">
        <v>634</v>
      </c>
      <c r="C75" s="47"/>
      <c r="D75" s="50">
        <f>4842+2678+21+20+263-250+23+241</f>
        <v>7838</v>
      </c>
      <c r="E75" s="47"/>
      <c r="F75" s="50">
        <v>8395</v>
      </c>
      <c r="G75" s="61"/>
      <c r="H75" s="43"/>
      <c r="I75" s="44"/>
    </row>
    <row r="76" spans="1:9" x14ac:dyDescent="0.2">
      <c r="A76" s="43"/>
      <c r="B76" s="46" t="s">
        <v>635</v>
      </c>
      <c r="C76" s="47"/>
      <c r="D76" s="79">
        <v>238</v>
      </c>
      <c r="E76" s="47"/>
      <c r="F76" s="50">
        <v>269</v>
      </c>
      <c r="G76" s="61"/>
      <c r="H76" s="43"/>
      <c r="I76" s="44"/>
    </row>
    <row r="77" spans="1:9" x14ac:dyDescent="0.2">
      <c r="A77" s="43"/>
      <c r="B77" s="66" t="s">
        <v>636</v>
      </c>
      <c r="C77" s="47"/>
      <c r="D77" s="50">
        <f>357+168+315+39+172</f>
        <v>1051</v>
      </c>
      <c r="E77" s="47"/>
      <c r="F77" s="50">
        <v>926</v>
      </c>
      <c r="G77" s="61"/>
      <c r="H77" s="43"/>
      <c r="I77" s="44"/>
    </row>
    <row r="78" spans="1:9" x14ac:dyDescent="0.2">
      <c r="A78" s="43"/>
      <c r="B78" s="66" t="s">
        <v>637</v>
      </c>
      <c r="C78" s="47"/>
      <c r="D78" s="50">
        <f>137+8722+9</f>
        <v>8868</v>
      </c>
      <c r="E78" s="47"/>
      <c r="F78" s="50">
        <v>9355</v>
      </c>
      <c r="G78" s="61"/>
      <c r="H78" s="43"/>
      <c r="I78" s="44"/>
    </row>
    <row r="79" spans="1:9" x14ac:dyDescent="0.2">
      <c r="A79" s="43"/>
      <c r="B79" s="46" t="s">
        <v>638</v>
      </c>
      <c r="C79" s="47"/>
      <c r="D79" s="50">
        <f>43155-D75-D76-D77-D78</f>
        <v>25160</v>
      </c>
      <c r="E79" s="47"/>
      <c r="F79" s="50">
        <f>57+19000+2874</f>
        <v>21931</v>
      </c>
      <c r="G79" s="61"/>
      <c r="H79" s="43"/>
      <c r="I79" s="44"/>
    </row>
    <row r="80" spans="1:9" ht="13.5" thickBot="1" x14ac:dyDescent="0.25">
      <c r="A80" s="43"/>
      <c r="B80" s="46" t="s">
        <v>639</v>
      </c>
      <c r="C80" s="47"/>
      <c r="D80" s="73">
        <f>SUM(D74:D79)</f>
        <v>43155</v>
      </c>
      <c r="E80" s="47"/>
      <c r="F80" s="73">
        <f>SUM(F74:F79)</f>
        <v>40876</v>
      </c>
      <c r="G80" s="61"/>
      <c r="H80" s="43"/>
      <c r="I80" s="44"/>
    </row>
    <row r="81" spans="1:9" ht="6" customHeight="1" thickTop="1" x14ac:dyDescent="0.2">
      <c r="A81" s="43"/>
      <c r="B81" s="46"/>
      <c r="C81" s="47"/>
      <c r="D81" s="47"/>
      <c r="E81" s="47"/>
      <c r="F81" s="47"/>
      <c r="G81" s="61"/>
      <c r="H81" s="43"/>
      <c r="I81" s="44"/>
    </row>
    <row r="82" spans="1:9" x14ac:dyDescent="0.2">
      <c r="A82" s="43"/>
      <c r="B82" s="66" t="s">
        <v>6</v>
      </c>
      <c r="C82" s="47"/>
      <c r="D82" s="50"/>
      <c r="E82" s="47"/>
      <c r="F82" s="50"/>
      <c r="G82" s="61"/>
      <c r="H82" s="43"/>
      <c r="I82" s="44"/>
    </row>
    <row r="83" spans="1:9" x14ac:dyDescent="0.2">
      <c r="A83" s="43"/>
      <c r="B83" s="46"/>
      <c r="C83" s="47"/>
      <c r="D83" s="47"/>
      <c r="E83" s="47"/>
      <c r="F83" s="47"/>
      <c r="G83" s="61"/>
      <c r="H83" s="43"/>
      <c r="I83" s="44"/>
    </row>
    <row r="84" spans="1:9" x14ac:dyDescent="0.2">
      <c r="A84" s="43"/>
      <c r="B84" s="53"/>
      <c r="C84" s="54"/>
      <c r="D84" s="54"/>
      <c r="E84" s="54"/>
      <c r="F84" s="54"/>
      <c r="G84" s="80"/>
      <c r="H84" s="43"/>
      <c r="I84" s="44"/>
    </row>
    <row r="85" spans="1:9" x14ac:dyDescent="0.2">
      <c r="A85" s="43"/>
      <c r="B85" s="43"/>
      <c r="C85" s="43"/>
      <c r="D85" s="43"/>
      <c r="E85" s="43"/>
      <c r="F85" s="43"/>
      <c r="G85" s="43"/>
      <c r="H85" s="43"/>
      <c r="I85" s="44"/>
    </row>
    <row r="86" spans="1:9" ht="13.5" thickBot="1" x14ac:dyDescent="0.25">
      <c r="A86" s="81"/>
      <c r="B86" s="81"/>
      <c r="C86" s="81"/>
      <c r="D86" s="81"/>
      <c r="E86" s="81"/>
      <c r="F86" s="81"/>
      <c r="G86" s="81"/>
      <c r="H86" s="81"/>
      <c r="I86" s="57"/>
    </row>
    <row r="87" spans="1:9" ht="13.5" thickTop="1" x14ac:dyDescent="0.2"/>
    <row r="313" spans="2:7" ht="15" customHeight="1" x14ac:dyDescent="0.2">
      <c r="B313" s="632" t="str">
        <f t="shared" ref="B313:G315" si="0">C1</f>
        <v>מ"א עמק הירדן</v>
      </c>
      <c r="C313" s="632">
        <f t="shared" si="0"/>
        <v>0</v>
      </c>
      <c r="D313" s="632">
        <f t="shared" si="0"/>
        <v>0</v>
      </c>
      <c r="E313" s="632">
        <f t="shared" si="0"/>
        <v>0</v>
      </c>
      <c r="F313" s="632">
        <f t="shared" si="0"/>
        <v>0</v>
      </c>
      <c r="G313" s="632">
        <f t="shared" si="0"/>
        <v>0</v>
      </c>
    </row>
    <row r="314" spans="2:7" ht="14.25" customHeight="1" x14ac:dyDescent="0.2">
      <c r="B314" s="632" t="str">
        <f t="shared" si="0"/>
        <v>תמצית המאזן באלפי ₪</v>
      </c>
      <c r="C314" s="632">
        <f t="shared" si="0"/>
        <v>0</v>
      </c>
      <c r="D314" s="632">
        <f t="shared" si="0"/>
        <v>0</v>
      </c>
      <c r="E314" s="632">
        <f t="shared" si="0"/>
        <v>0</v>
      </c>
      <c r="F314" s="632">
        <f t="shared" si="0"/>
        <v>0</v>
      </c>
      <c r="G314" s="632">
        <f t="shared" si="0"/>
        <v>0</v>
      </c>
    </row>
    <row r="315" spans="2:7" ht="15.75" customHeight="1" x14ac:dyDescent="0.2">
      <c r="B315" s="632" t="str">
        <f t="shared" si="0"/>
        <v>ליום 31 במרץ 2017</v>
      </c>
      <c r="C315" s="632">
        <f t="shared" si="0"/>
        <v>0</v>
      </c>
      <c r="D315" s="632">
        <f t="shared" si="0"/>
        <v>0</v>
      </c>
      <c r="E315" s="632">
        <f t="shared" si="0"/>
        <v>0</v>
      </c>
      <c r="F315" s="632">
        <f t="shared" si="0"/>
        <v>0</v>
      </c>
      <c r="G315" s="632">
        <f t="shared" si="0"/>
        <v>0</v>
      </c>
    </row>
    <row r="317" spans="2:7" ht="6.75" customHeight="1" x14ac:dyDescent="0.2"/>
    <row r="318" spans="2:7" ht="7.5" customHeight="1" x14ac:dyDescent="0.2"/>
    <row r="319" spans="2:7" x14ac:dyDescent="0.2">
      <c r="B319" s="82"/>
      <c r="C319" s="82">
        <f>C7</f>
        <v>0</v>
      </c>
      <c r="D319" s="536" t="str">
        <f>D7</f>
        <v>31.3.17</v>
      </c>
      <c r="E319" s="82">
        <f>E7</f>
        <v>0</v>
      </c>
      <c r="F319" s="536" t="str">
        <f>F7</f>
        <v>31.12.16</v>
      </c>
      <c r="G319" s="82" t="str">
        <f>G7</f>
        <v>*</v>
      </c>
    </row>
    <row r="320" spans="2:7" ht="15.75" x14ac:dyDescent="0.2">
      <c r="B320" s="86" t="str">
        <f t="shared" ref="B320:G333" si="1">B8</f>
        <v>נכסים</v>
      </c>
      <c r="C320" s="84"/>
      <c r="D320" s="84">
        <f t="shared" si="1"/>
        <v>0</v>
      </c>
      <c r="E320" s="84">
        <f t="shared" si="1"/>
        <v>0</v>
      </c>
      <c r="F320" s="84">
        <f t="shared" si="1"/>
        <v>0</v>
      </c>
      <c r="G320" s="85">
        <f t="shared" si="1"/>
        <v>0</v>
      </c>
    </row>
    <row r="321" spans="2:7" x14ac:dyDescent="0.2">
      <c r="B321" s="83" t="str">
        <f t="shared" si="1"/>
        <v>נכסים נזילים: קופה ובנקים</v>
      </c>
      <c r="C321" s="84"/>
      <c r="D321" s="87">
        <f t="shared" si="1"/>
        <v>16313</v>
      </c>
      <c r="E321" s="84">
        <f t="shared" si="1"/>
        <v>0</v>
      </c>
      <c r="F321" s="87">
        <f t="shared" si="1"/>
        <v>2299</v>
      </c>
      <c r="G321" s="85">
        <f t="shared" si="1"/>
        <v>0</v>
      </c>
    </row>
    <row r="322" spans="2:7" x14ac:dyDescent="0.2">
      <c r="B322" s="83" t="str">
        <f t="shared" si="1"/>
        <v>הכנסות מתוקצבות שטרם התקבלו</v>
      </c>
      <c r="C322" s="84"/>
      <c r="D322" s="88">
        <f t="shared" si="1"/>
        <v>4943</v>
      </c>
      <c r="E322" s="84">
        <f t="shared" si="1"/>
        <v>0</v>
      </c>
      <c r="F322" s="88">
        <f t="shared" si="1"/>
        <v>4285</v>
      </c>
      <c r="G322" s="85">
        <f t="shared" si="1"/>
        <v>0</v>
      </c>
    </row>
    <row r="323" spans="2:7" x14ac:dyDescent="0.2">
      <c r="B323" s="83" t="str">
        <f t="shared" si="1"/>
        <v>חייבים - תשלומים לא מתוקצבים</v>
      </c>
      <c r="C323" s="84"/>
      <c r="D323" s="88">
        <f t="shared" si="1"/>
        <v>41</v>
      </c>
      <c r="E323" s="84">
        <f t="shared" si="1"/>
        <v>0</v>
      </c>
      <c r="F323" s="88">
        <f t="shared" si="1"/>
        <v>789</v>
      </c>
      <c r="G323" s="85">
        <f t="shared" si="1"/>
        <v>0</v>
      </c>
    </row>
    <row r="324" spans="2:7" x14ac:dyDescent="0.2">
      <c r="B324" s="83" t="str">
        <f t="shared" si="1"/>
        <v>סה"כ רכוש שוטף</v>
      </c>
      <c r="C324" s="84"/>
      <c r="D324" s="89">
        <f t="shared" si="1"/>
        <v>21297</v>
      </c>
      <c r="E324" s="84">
        <f t="shared" si="1"/>
        <v>0</v>
      </c>
      <c r="F324" s="89">
        <f t="shared" si="1"/>
        <v>7373</v>
      </c>
      <c r="G324" s="85">
        <f t="shared" si="1"/>
        <v>0</v>
      </c>
    </row>
    <row r="325" spans="2:7" x14ac:dyDescent="0.2">
      <c r="B325" s="83" t="str">
        <f t="shared" si="1"/>
        <v>השקעות מיועדות לכסוי קרן לעבודות פיתוח</v>
      </c>
      <c r="C325" s="84"/>
      <c r="D325" s="87">
        <f t="shared" si="1"/>
        <v>32331</v>
      </c>
      <c r="E325" s="84">
        <f t="shared" si="1"/>
        <v>0</v>
      </c>
      <c r="F325" s="87">
        <f t="shared" si="1"/>
        <v>48566</v>
      </c>
      <c r="G325" s="85">
        <f t="shared" si="1"/>
        <v>0</v>
      </c>
    </row>
    <row r="326" spans="2:7" x14ac:dyDescent="0.2">
      <c r="B326" s="83" t="str">
        <f t="shared" si="1"/>
        <v>השקעות במימון קרנות מתוקצבות</v>
      </c>
      <c r="C326" s="84"/>
      <c r="D326" s="88">
        <f t="shared" si="1"/>
        <v>3209</v>
      </c>
      <c r="E326" s="84">
        <f t="shared" si="1"/>
        <v>0</v>
      </c>
      <c r="F326" s="88">
        <f t="shared" si="1"/>
        <v>3208</v>
      </c>
      <c r="G326" s="85">
        <f t="shared" si="1"/>
        <v>0</v>
      </c>
    </row>
    <row r="327" spans="2:7" x14ac:dyDescent="0.2">
      <c r="B327" s="83" t="str">
        <f t="shared" si="1"/>
        <v>סה"כ השקעות</v>
      </c>
      <c r="C327" s="84"/>
      <c r="D327" s="89">
        <f t="shared" si="1"/>
        <v>35540</v>
      </c>
      <c r="E327" s="84">
        <f t="shared" si="1"/>
        <v>0</v>
      </c>
      <c r="F327" s="89">
        <f t="shared" si="1"/>
        <v>51774</v>
      </c>
      <c r="G327" s="85">
        <f t="shared" si="1"/>
        <v>0</v>
      </c>
    </row>
    <row r="328" spans="2:7" x14ac:dyDescent="0.2">
      <c r="B328" s="90" t="str">
        <f t="shared" si="1"/>
        <v>גרעונות בתקציב הרגיל והבלתי רגיל</v>
      </c>
      <c r="C328" s="84"/>
      <c r="D328" s="84">
        <f t="shared" si="1"/>
        <v>0</v>
      </c>
      <c r="E328" s="84">
        <f t="shared" si="1"/>
        <v>0</v>
      </c>
      <c r="F328" s="84">
        <f t="shared" si="1"/>
        <v>0</v>
      </c>
      <c r="G328" s="85">
        <f t="shared" si="1"/>
        <v>0</v>
      </c>
    </row>
    <row r="329" spans="2:7" x14ac:dyDescent="0.2">
      <c r="B329" s="83" t="str">
        <f t="shared" si="1"/>
        <v>גרעון לראשית השנה</v>
      </c>
      <c r="C329" s="84"/>
      <c r="D329" s="88">
        <f t="shared" si="1"/>
        <v>12514</v>
      </c>
      <c r="E329" s="84">
        <f t="shared" si="1"/>
        <v>0</v>
      </c>
      <c r="F329" s="88">
        <f t="shared" si="1"/>
        <v>12707</v>
      </c>
      <c r="G329" s="85">
        <f t="shared" si="1"/>
        <v>0</v>
      </c>
    </row>
    <row r="330" spans="2:7" x14ac:dyDescent="0.2">
      <c r="B330" s="83" t="str">
        <f t="shared" si="1"/>
        <v>סכום שהתקבל להקטנת הגרעון (במינוס) (1)</v>
      </c>
      <c r="C330" s="84"/>
      <c r="D330" s="88">
        <f t="shared" si="1"/>
        <v>0</v>
      </c>
      <c r="E330" s="84">
        <f t="shared" si="1"/>
        <v>0</v>
      </c>
      <c r="F330" s="88">
        <f t="shared" si="1"/>
        <v>0</v>
      </c>
      <c r="G330" s="85">
        <f t="shared" si="1"/>
        <v>0</v>
      </c>
    </row>
    <row r="331" spans="2:7" x14ac:dyDescent="0.2">
      <c r="B331" s="83" t="str">
        <f t="shared" si="1"/>
        <v>גרעון (עודף) שוטף בתקופת הדוח</v>
      </c>
      <c r="C331" s="84"/>
      <c r="D331" s="88">
        <f t="shared" si="1"/>
        <v>-86</v>
      </c>
      <c r="E331" s="84">
        <f t="shared" si="1"/>
        <v>0</v>
      </c>
      <c r="F331" s="88">
        <f t="shared" si="1"/>
        <v>-193</v>
      </c>
      <c r="G331" s="85">
        <f t="shared" si="1"/>
        <v>0</v>
      </c>
    </row>
    <row r="332" spans="2:7" x14ac:dyDescent="0.2">
      <c r="B332" s="83" t="str">
        <f t="shared" si="1"/>
        <v>סה"כ גרעון מצטבר בתקציב הרגיל</v>
      </c>
      <c r="C332" s="84"/>
      <c r="D332" s="89">
        <f t="shared" si="1"/>
        <v>12428</v>
      </c>
      <c r="E332" s="84">
        <f t="shared" si="1"/>
        <v>0</v>
      </c>
      <c r="F332" s="89">
        <f t="shared" si="1"/>
        <v>12514</v>
      </c>
      <c r="G332" s="85">
        <f t="shared" si="1"/>
        <v>0</v>
      </c>
    </row>
    <row r="333" spans="2:7" x14ac:dyDescent="0.2">
      <c r="B333" s="83" t="str">
        <f t="shared" si="1"/>
        <v>גרעונות סופיים בתב"רים</v>
      </c>
      <c r="C333" s="84"/>
      <c r="D333" s="91">
        <f t="shared" si="1"/>
        <v>0</v>
      </c>
      <c r="E333" s="84">
        <f t="shared" si="1"/>
        <v>0</v>
      </c>
      <c r="F333" s="91">
        <f t="shared" si="1"/>
        <v>0</v>
      </c>
      <c r="G333" s="85">
        <f t="shared" si="1"/>
        <v>0</v>
      </c>
    </row>
    <row r="334" spans="2:7" x14ac:dyDescent="0.2">
      <c r="B334" s="83" t="str">
        <f t="shared" ref="B334:B342" si="2">B22</f>
        <v>סכום שהתקבל להקטנת הגרעון הסופי בתבר"ים (במינוס) (2)</v>
      </c>
      <c r="C334" s="84"/>
      <c r="D334" s="91">
        <f t="shared" ref="D334:G342" si="3">D22</f>
        <v>0</v>
      </c>
      <c r="E334" s="84">
        <f t="shared" si="3"/>
        <v>0</v>
      </c>
      <c r="F334" s="91">
        <f t="shared" si="3"/>
        <v>0</v>
      </c>
      <c r="G334" s="85">
        <f t="shared" si="3"/>
        <v>0</v>
      </c>
    </row>
    <row r="335" spans="2:7" x14ac:dyDescent="0.2">
      <c r="B335" s="83" t="str">
        <f t="shared" si="2"/>
        <v>סה"כ גרעון מצטבר בתב"רים סופיים</v>
      </c>
      <c r="C335" s="84"/>
      <c r="D335" s="91">
        <f t="shared" si="3"/>
        <v>0</v>
      </c>
      <c r="E335" s="84">
        <f t="shared" si="3"/>
        <v>0</v>
      </c>
      <c r="F335" s="91">
        <f t="shared" si="3"/>
        <v>0</v>
      </c>
      <c r="G335" s="85">
        <f t="shared" si="3"/>
        <v>0</v>
      </c>
    </row>
    <row r="336" spans="2:7" ht="4.5" customHeight="1" x14ac:dyDescent="0.2">
      <c r="B336" s="83">
        <f t="shared" si="2"/>
        <v>0</v>
      </c>
      <c r="C336" s="84"/>
      <c r="D336" s="87">
        <f t="shared" si="3"/>
        <v>0</v>
      </c>
      <c r="E336" s="84">
        <f t="shared" si="3"/>
        <v>0</v>
      </c>
      <c r="F336" s="87">
        <f t="shared" si="3"/>
        <v>0</v>
      </c>
      <c r="G336" s="85">
        <f t="shared" si="3"/>
        <v>0</v>
      </c>
    </row>
    <row r="337" spans="2:7" x14ac:dyDescent="0.2">
      <c r="B337" s="90" t="str">
        <f t="shared" si="2"/>
        <v>גרעונות בתקציב הבלתי רגיל</v>
      </c>
      <c r="C337" s="84"/>
      <c r="D337" s="87">
        <f t="shared" si="3"/>
        <v>0</v>
      </c>
      <c r="E337" s="84">
        <f t="shared" si="3"/>
        <v>0</v>
      </c>
      <c r="F337" s="87">
        <f t="shared" si="3"/>
        <v>0</v>
      </c>
      <c r="G337" s="85"/>
    </row>
    <row r="338" spans="2:7" x14ac:dyDescent="0.2">
      <c r="B338" s="83" t="str">
        <f t="shared" si="2"/>
        <v>גרעונות מימון זמניים</v>
      </c>
      <c r="C338" s="84"/>
      <c r="D338" s="92">
        <f t="shared" si="3"/>
        <v>17341</v>
      </c>
      <c r="E338" s="84">
        <f t="shared" si="3"/>
        <v>0</v>
      </c>
      <c r="F338" s="92" t="str">
        <f t="shared" si="3"/>
        <v/>
      </c>
      <c r="G338" s="85"/>
    </row>
    <row r="339" spans="2:7" x14ac:dyDescent="0.2">
      <c r="B339" s="83" t="str">
        <f t="shared" si="2"/>
        <v>עודפי מימון זמניים</v>
      </c>
      <c r="C339" s="84"/>
      <c r="D339" s="93">
        <f t="shared" si="3"/>
        <v>-13834</v>
      </c>
      <c r="E339" s="84">
        <f t="shared" si="3"/>
        <v>0</v>
      </c>
      <c r="F339" s="93" t="str">
        <f t="shared" si="3"/>
        <v/>
      </c>
      <c r="G339" s="85"/>
    </row>
    <row r="340" spans="2:7" x14ac:dyDescent="0.2">
      <c r="B340" s="83" t="str">
        <f t="shared" si="2"/>
        <v>גרעון נטו</v>
      </c>
      <c r="C340" s="84"/>
      <c r="D340" s="94">
        <f t="shared" si="3"/>
        <v>3507</v>
      </c>
      <c r="E340" s="84">
        <f t="shared" si="3"/>
        <v>0</v>
      </c>
      <c r="F340" s="94">
        <f t="shared" si="3"/>
        <v>0</v>
      </c>
      <c r="G340" s="85"/>
    </row>
    <row r="341" spans="2:7" ht="4.5" customHeight="1" x14ac:dyDescent="0.2">
      <c r="B341" s="83">
        <f t="shared" si="2"/>
        <v>0</v>
      </c>
      <c r="C341" s="84"/>
      <c r="D341" s="87">
        <f t="shared" si="3"/>
        <v>0</v>
      </c>
      <c r="E341" s="84">
        <f t="shared" si="3"/>
        <v>0</v>
      </c>
      <c r="F341" s="87">
        <f t="shared" si="3"/>
        <v>0</v>
      </c>
      <c r="G341" s="85"/>
    </row>
    <row r="342" spans="2:7" ht="13.5" thickBot="1" x14ac:dyDescent="0.25">
      <c r="B342" s="523" t="str">
        <f t="shared" si="2"/>
        <v>סה"כ נכסים</v>
      </c>
      <c r="C342" s="84"/>
      <c r="D342" s="95">
        <f t="shared" si="3"/>
        <v>72772</v>
      </c>
      <c r="E342" s="84">
        <f t="shared" si="3"/>
        <v>0</v>
      </c>
      <c r="F342" s="96">
        <f t="shared" si="3"/>
        <v>71661</v>
      </c>
      <c r="G342" s="85">
        <f>G30</f>
        <v>0</v>
      </c>
    </row>
    <row r="343" spans="2:7" ht="13.5" thickTop="1" x14ac:dyDescent="0.2">
      <c r="B343" s="523"/>
      <c r="C343" s="84"/>
      <c r="D343" s="524"/>
      <c r="E343" s="84"/>
      <c r="F343" s="104"/>
      <c r="G343" s="85"/>
    </row>
    <row r="344" spans="2:7" ht="15.75" x14ac:dyDescent="0.2">
      <c r="B344" s="86" t="str">
        <f t="shared" ref="B344:B355" si="4">B31</f>
        <v>התחייבויות ועודפים</v>
      </c>
      <c r="C344" s="84"/>
      <c r="D344" s="84">
        <f t="shared" ref="D344:G347" si="5">D31</f>
        <v>0</v>
      </c>
      <c r="E344" s="84">
        <f t="shared" si="5"/>
        <v>0</v>
      </c>
      <c r="F344" s="84">
        <f t="shared" si="5"/>
        <v>0</v>
      </c>
      <c r="G344" s="85">
        <f t="shared" si="5"/>
        <v>0</v>
      </c>
    </row>
    <row r="345" spans="2:7" hidden="1" x14ac:dyDescent="0.2">
      <c r="B345" s="90" t="str">
        <f t="shared" si="4"/>
        <v>הוצאות מתוקצבות שטרם שולמו</v>
      </c>
      <c r="C345" s="84"/>
      <c r="D345" s="84">
        <f t="shared" si="5"/>
        <v>0</v>
      </c>
      <c r="E345" s="84">
        <f t="shared" si="5"/>
        <v>0</v>
      </c>
      <c r="F345" s="84">
        <f t="shared" si="5"/>
        <v>0</v>
      </c>
      <c r="G345" s="85">
        <f t="shared" si="5"/>
        <v>0</v>
      </c>
    </row>
    <row r="346" spans="2:7" x14ac:dyDescent="0.2">
      <c r="B346" s="83" t="str">
        <f t="shared" si="4"/>
        <v>בנקים: משיכות יתר והלוואות</v>
      </c>
      <c r="C346" s="84"/>
      <c r="D346" s="101">
        <f t="shared" si="5"/>
        <v>0</v>
      </c>
      <c r="E346" s="84">
        <f t="shared" si="5"/>
        <v>0</v>
      </c>
      <c r="F346" s="101">
        <f t="shared" si="5"/>
        <v>0</v>
      </c>
      <c r="G346" s="85">
        <f t="shared" si="5"/>
        <v>0</v>
      </c>
    </row>
    <row r="347" spans="2:7" x14ac:dyDescent="0.2">
      <c r="B347" s="83" t="str">
        <f t="shared" si="4"/>
        <v>משרדי ממשלה</v>
      </c>
      <c r="C347" s="84"/>
      <c r="D347" s="88">
        <f t="shared" si="5"/>
        <v>199</v>
      </c>
      <c r="E347" s="84">
        <f t="shared" si="5"/>
        <v>0</v>
      </c>
      <c r="F347" s="88">
        <f t="shared" si="5"/>
        <v>198</v>
      </c>
      <c r="G347" s="85">
        <f t="shared" si="5"/>
        <v>0</v>
      </c>
    </row>
    <row r="348" spans="2:7" x14ac:dyDescent="0.2">
      <c r="B348" s="83" t="str">
        <f t="shared" si="4"/>
        <v>מוסדות שכר - הוצאות מתוקצבות שטרם שולמו</v>
      </c>
      <c r="C348" s="84"/>
      <c r="D348" s="88">
        <f t="shared" ref="D348:F350" si="6">D35</f>
        <v>5429</v>
      </c>
      <c r="E348" s="84">
        <f t="shared" si="6"/>
        <v>0</v>
      </c>
      <c r="F348" s="88">
        <f t="shared" si="6"/>
        <v>4740</v>
      </c>
      <c r="G348" s="85"/>
    </row>
    <row r="349" spans="2:7" x14ac:dyDescent="0.2">
      <c r="B349" s="83" t="str">
        <f t="shared" si="4"/>
        <v>ספקים וזכאים (*) - הוצאות מתוקצבות שטרם שולמו</v>
      </c>
      <c r="C349" s="84"/>
      <c r="D349" s="88">
        <f t="shared" si="6"/>
        <v>17106</v>
      </c>
      <c r="E349" s="84">
        <f t="shared" si="6"/>
        <v>0</v>
      </c>
      <c r="F349" s="88">
        <f t="shared" si="6"/>
        <v>16443</v>
      </c>
      <c r="G349" s="85">
        <f>G36</f>
        <v>0</v>
      </c>
    </row>
    <row r="350" spans="2:7" x14ac:dyDescent="0.2">
      <c r="B350" s="83" t="str">
        <f t="shared" si="4"/>
        <v>תקבולים לא מתוקצבים:</v>
      </c>
      <c r="C350" s="84"/>
      <c r="D350" s="84">
        <f t="shared" si="6"/>
        <v>0</v>
      </c>
      <c r="E350" s="84">
        <f t="shared" si="6"/>
        <v>0</v>
      </c>
      <c r="F350" s="84">
        <f t="shared" si="6"/>
        <v>0</v>
      </c>
      <c r="G350" s="85">
        <f>G37</f>
        <v>0</v>
      </c>
    </row>
    <row r="351" spans="2:7" x14ac:dyDescent="0.2">
      <c r="B351" s="83" t="str">
        <f t="shared" si="4"/>
        <v>פקדונות, הכנסות מראש ואחרים</v>
      </c>
      <c r="C351" s="84"/>
      <c r="D351" s="88">
        <f t="shared" ref="D351:G354" si="7">D38</f>
        <v>3674</v>
      </c>
      <c r="E351" s="84">
        <f t="shared" si="7"/>
        <v>0</v>
      </c>
      <c r="F351" s="88">
        <f t="shared" si="7"/>
        <v>52</v>
      </c>
      <c r="G351" s="85">
        <f t="shared" si="7"/>
        <v>0</v>
      </c>
    </row>
    <row r="352" spans="2:7" x14ac:dyDescent="0.2">
      <c r="B352" s="83" t="str">
        <f t="shared" si="4"/>
        <v>סה"כ התחיבויות שוטפות</v>
      </c>
      <c r="C352" s="84"/>
      <c r="D352" s="89">
        <f t="shared" si="7"/>
        <v>26408</v>
      </c>
      <c r="E352" s="84">
        <f t="shared" si="7"/>
        <v>0</v>
      </c>
      <c r="F352" s="89">
        <f t="shared" si="7"/>
        <v>21433</v>
      </c>
      <c r="G352" s="85">
        <f t="shared" si="7"/>
        <v>0</v>
      </c>
    </row>
    <row r="353" spans="2:7" x14ac:dyDescent="0.2">
      <c r="B353" s="90" t="str">
        <f t="shared" si="4"/>
        <v>קרן עבודות פיתוח ועודפים בתקציב הרגיל</v>
      </c>
      <c r="C353" s="84"/>
      <c r="D353" s="84">
        <f t="shared" si="7"/>
        <v>0</v>
      </c>
      <c r="E353" s="84">
        <f t="shared" si="7"/>
        <v>0</v>
      </c>
      <c r="F353" s="84">
        <f t="shared" si="7"/>
        <v>0</v>
      </c>
      <c r="G353" s="85">
        <f t="shared" si="7"/>
        <v>0</v>
      </c>
    </row>
    <row r="354" spans="2:7" x14ac:dyDescent="0.2">
      <c r="B354" s="83" t="str">
        <f t="shared" si="4"/>
        <v>קרנות בלתי מתוקצבות (3)</v>
      </c>
      <c r="C354" s="84"/>
      <c r="D354" s="88">
        <f t="shared" si="7"/>
        <v>43155</v>
      </c>
      <c r="E354" s="84">
        <f t="shared" si="7"/>
        <v>0</v>
      </c>
      <c r="F354" s="88">
        <f t="shared" si="7"/>
        <v>40876</v>
      </c>
      <c r="G354" s="85">
        <f t="shared" si="7"/>
        <v>0</v>
      </c>
    </row>
    <row r="355" spans="2:7" hidden="1" x14ac:dyDescent="0.2">
      <c r="B355" s="83">
        <f t="shared" si="4"/>
        <v>0</v>
      </c>
      <c r="C355" s="84"/>
      <c r="D355" s="89">
        <f>D42</f>
        <v>0</v>
      </c>
      <c r="E355" s="84">
        <f>E42</f>
        <v>0</v>
      </c>
      <c r="F355" s="89">
        <f>F42</f>
        <v>0</v>
      </c>
      <c r="G355" s="85">
        <f>G42</f>
        <v>0</v>
      </c>
    </row>
    <row r="356" spans="2:7" x14ac:dyDescent="0.2">
      <c r="B356" s="83" t="str">
        <f t="shared" ref="B356:B368" si="8">B43</f>
        <v>קרנות מתוקצבות</v>
      </c>
      <c r="C356" s="84"/>
      <c r="D356" s="87">
        <f t="shared" ref="D356:G364" si="9">D43</f>
        <v>3209</v>
      </c>
      <c r="E356" s="84">
        <f t="shared" si="9"/>
        <v>0</v>
      </c>
      <c r="F356" s="87">
        <f t="shared" si="9"/>
        <v>3208</v>
      </c>
      <c r="G356" s="85">
        <f t="shared" si="9"/>
        <v>0</v>
      </c>
    </row>
    <row r="357" spans="2:7" x14ac:dyDescent="0.2">
      <c r="B357" s="90" t="str">
        <f t="shared" si="8"/>
        <v>עודפים בתקציב הרגיל</v>
      </c>
      <c r="C357" s="84"/>
      <c r="D357" s="84">
        <f t="shared" si="9"/>
        <v>0</v>
      </c>
      <c r="E357" s="84">
        <f t="shared" si="9"/>
        <v>0</v>
      </c>
      <c r="F357" s="84">
        <f t="shared" si="9"/>
        <v>0</v>
      </c>
      <c r="G357" s="85">
        <f t="shared" si="9"/>
        <v>0</v>
      </c>
    </row>
    <row r="358" spans="2:7" x14ac:dyDescent="0.2">
      <c r="B358" s="83" t="str">
        <f t="shared" si="8"/>
        <v>עודף לראשית השנה</v>
      </c>
      <c r="C358" s="84"/>
      <c r="D358" s="87">
        <f t="shared" si="9"/>
        <v>0</v>
      </c>
      <c r="E358" s="84">
        <f t="shared" si="9"/>
        <v>0</v>
      </c>
      <c r="F358" s="87">
        <f t="shared" si="9"/>
        <v>0</v>
      </c>
      <c r="G358" s="85">
        <f t="shared" si="9"/>
        <v>0</v>
      </c>
    </row>
    <row r="359" spans="2:7" x14ac:dyDescent="0.2">
      <c r="B359" s="83" t="str">
        <f t="shared" si="8"/>
        <v>עודף (גרעון) בתקופת הדוח</v>
      </c>
      <c r="C359" s="84"/>
      <c r="D359" s="88">
        <f t="shared" si="9"/>
        <v>0</v>
      </c>
      <c r="E359" s="84">
        <f t="shared" si="9"/>
        <v>0</v>
      </c>
      <c r="F359" s="88">
        <f t="shared" si="9"/>
        <v>0</v>
      </c>
      <c r="G359" s="85">
        <f t="shared" si="9"/>
        <v>0</v>
      </c>
    </row>
    <row r="360" spans="2:7" x14ac:dyDescent="0.2">
      <c r="B360" s="83" t="str">
        <f t="shared" si="8"/>
        <v>סה"כ עודף מצטבר בתקציב הרגיל</v>
      </c>
      <c r="C360" s="84"/>
      <c r="D360" s="89">
        <f t="shared" si="9"/>
        <v>0</v>
      </c>
      <c r="E360" s="84">
        <f t="shared" si="9"/>
        <v>0</v>
      </c>
      <c r="F360" s="89">
        <f t="shared" si="9"/>
        <v>0</v>
      </c>
      <c r="G360" s="85">
        <f t="shared" si="9"/>
        <v>0</v>
      </c>
    </row>
    <row r="361" spans="2:7" ht="4.5" customHeight="1" x14ac:dyDescent="0.2">
      <c r="B361" s="83">
        <f t="shared" si="8"/>
        <v>0</v>
      </c>
      <c r="C361" s="84"/>
      <c r="D361" s="84">
        <f t="shared" si="9"/>
        <v>0</v>
      </c>
      <c r="E361" s="84">
        <f t="shared" si="9"/>
        <v>0</v>
      </c>
      <c r="F361" s="84">
        <f t="shared" si="9"/>
        <v>0</v>
      </c>
      <c r="G361" s="85">
        <f t="shared" si="9"/>
        <v>0</v>
      </c>
    </row>
    <row r="362" spans="2:7" x14ac:dyDescent="0.2">
      <c r="B362" s="83" t="str">
        <f t="shared" si="8"/>
        <v>העברת עודפי שנים קודמות לתקציב הרגיל  (במינוס)</v>
      </c>
      <c r="C362" s="84"/>
      <c r="D362" s="97">
        <f t="shared" si="9"/>
        <v>0</v>
      </c>
      <c r="E362" s="84">
        <f t="shared" si="9"/>
        <v>0</v>
      </c>
      <c r="F362" s="97">
        <f t="shared" si="9"/>
        <v>0</v>
      </c>
      <c r="G362" s="85"/>
    </row>
    <row r="363" spans="2:7" ht="4.5" customHeight="1" x14ac:dyDescent="0.2">
      <c r="B363" s="83">
        <f t="shared" si="8"/>
        <v>0</v>
      </c>
      <c r="C363" s="84"/>
      <c r="D363" s="84">
        <f t="shared" si="9"/>
        <v>0</v>
      </c>
      <c r="E363" s="84">
        <f t="shared" si="9"/>
        <v>0</v>
      </c>
      <c r="F363" s="84">
        <f t="shared" si="9"/>
        <v>0</v>
      </c>
      <c r="G363" s="85"/>
    </row>
    <row r="364" spans="2:7" x14ac:dyDescent="0.2">
      <c r="B364" s="98" t="str">
        <f t="shared" si="8"/>
        <v>עודפים בתקציב הבלתי רגיל</v>
      </c>
      <c r="C364" s="84"/>
      <c r="D364" s="84">
        <f t="shared" si="9"/>
        <v>0</v>
      </c>
      <c r="E364" s="84">
        <f t="shared" si="9"/>
        <v>0</v>
      </c>
      <c r="F364" s="84">
        <f t="shared" si="9"/>
        <v>0</v>
      </c>
      <c r="G364" s="85"/>
    </row>
    <row r="365" spans="2:7" x14ac:dyDescent="0.2">
      <c r="B365" s="83" t="str">
        <f t="shared" si="8"/>
        <v>עודפי מימון זמניים</v>
      </c>
      <c r="C365" s="84"/>
      <c r="D365" s="99">
        <f t="shared" ref="D365:F369" si="10">D52</f>
        <v>0</v>
      </c>
      <c r="E365" s="84">
        <f t="shared" si="10"/>
        <v>0</v>
      </c>
      <c r="F365" s="99">
        <f t="shared" si="10"/>
        <v>40272</v>
      </c>
      <c r="G365" s="85"/>
    </row>
    <row r="366" spans="2:7" x14ac:dyDescent="0.2">
      <c r="B366" s="83" t="str">
        <f t="shared" si="8"/>
        <v>גרעונות מימון זמניים</v>
      </c>
      <c r="C366" s="84"/>
      <c r="D366" s="99">
        <f t="shared" si="10"/>
        <v>0</v>
      </c>
      <c r="E366" s="84">
        <f t="shared" si="10"/>
        <v>0</v>
      </c>
      <c r="F366" s="99">
        <f t="shared" si="10"/>
        <v>-34128</v>
      </c>
      <c r="G366" s="85"/>
    </row>
    <row r="367" spans="2:7" ht="4.5" customHeight="1" x14ac:dyDescent="0.2">
      <c r="B367" s="83">
        <f t="shared" si="8"/>
        <v>0</v>
      </c>
      <c r="C367" s="84"/>
      <c r="D367" s="84">
        <f t="shared" si="10"/>
        <v>0</v>
      </c>
      <c r="E367" s="84">
        <f t="shared" si="10"/>
        <v>0</v>
      </c>
      <c r="F367" s="84">
        <f t="shared" si="10"/>
        <v>0</v>
      </c>
      <c r="G367" s="85"/>
    </row>
    <row r="368" spans="2:7" ht="13.5" thickBot="1" x14ac:dyDescent="0.25">
      <c r="B368" s="523" t="str">
        <f t="shared" si="8"/>
        <v>סה"כ התחייבויות ועודפים</v>
      </c>
      <c r="C368" s="84"/>
      <c r="D368" s="96">
        <f t="shared" si="10"/>
        <v>72772</v>
      </c>
      <c r="E368" s="84">
        <f t="shared" si="10"/>
        <v>0</v>
      </c>
      <c r="F368" s="96">
        <f t="shared" si="10"/>
        <v>71661</v>
      </c>
      <c r="G368" s="85">
        <f>G55</f>
        <v>0</v>
      </c>
    </row>
    <row r="369" spans="2:7" ht="13.5" thickTop="1" x14ac:dyDescent="0.2">
      <c r="B369" s="83">
        <f>IF(B56="* מבוקר / לא מבוקר","יש לסמן האם נתוני שנה קודמת מבוקרים",B56)</f>
        <v>0</v>
      </c>
      <c r="C369" s="84"/>
      <c r="D369" s="84">
        <f t="shared" si="10"/>
        <v>0</v>
      </c>
      <c r="E369" s="84">
        <f t="shared" si="10"/>
        <v>0</v>
      </c>
      <c r="F369" s="84">
        <f t="shared" si="10"/>
        <v>0</v>
      </c>
      <c r="G369" s="85">
        <f>G56</f>
        <v>0</v>
      </c>
    </row>
    <row r="370" spans="2:7" x14ac:dyDescent="0.2">
      <c r="B370" s="83" t="str">
        <f>IF('הגדרות כלליות'!G28="כן","* מבוקר",IF('הגדרות כלליות'!G28="לא","* לא מבוקר","יש לציין בגליון הגדרות כלליות אם נתוני שנה קודמת מבוקרים"))</f>
        <v>* מבוקר</v>
      </c>
      <c r="C370" s="84"/>
      <c r="D370" s="84"/>
      <c r="E370" s="84"/>
      <c r="F370" s="84"/>
      <c r="G370" s="85"/>
    </row>
    <row r="371" spans="2:7" ht="18" x14ac:dyDescent="0.2">
      <c r="B371" s="632" t="str">
        <f>C1</f>
        <v>מ"א עמק הירדן</v>
      </c>
      <c r="C371" s="632">
        <f t="shared" ref="C371:G373" si="11">D59</f>
        <v>59831</v>
      </c>
      <c r="D371" s="632">
        <f t="shared" si="11"/>
        <v>0</v>
      </c>
      <c r="E371" s="632">
        <f t="shared" si="11"/>
        <v>61322</v>
      </c>
      <c r="F371" s="632">
        <f t="shared" si="11"/>
        <v>0</v>
      </c>
      <c r="G371" s="632">
        <f t="shared" si="11"/>
        <v>0</v>
      </c>
    </row>
    <row r="372" spans="2:7" ht="18" x14ac:dyDescent="0.2">
      <c r="B372" s="632" t="str">
        <f>CONCATENATE(C2," - פירוטים למאזן")</f>
        <v>תמצית המאזן באלפי ₪ - פירוטים למאזן</v>
      </c>
      <c r="C372" s="632">
        <f t="shared" si="11"/>
        <v>0</v>
      </c>
      <c r="D372" s="632">
        <f t="shared" si="11"/>
        <v>0</v>
      </c>
      <c r="E372" s="632">
        <f t="shared" si="11"/>
        <v>0</v>
      </c>
      <c r="F372" s="632">
        <f t="shared" si="11"/>
        <v>0</v>
      </c>
      <c r="G372" s="632">
        <f t="shared" si="11"/>
        <v>0</v>
      </c>
    </row>
    <row r="373" spans="2:7" ht="18" x14ac:dyDescent="0.2">
      <c r="B373" s="632" t="str">
        <f>C3</f>
        <v>ליום 31 במרץ 2017</v>
      </c>
      <c r="C373" s="632">
        <f t="shared" si="11"/>
        <v>0</v>
      </c>
      <c r="D373" s="632">
        <f t="shared" si="11"/>
        <v>0</v>
      </c>
      <c r="E373" s="632">
        <f t="shared" si="11"/>
        <v>0</v>
      </c>
      <c r="F373" s="632">
        <f t="shared" si="11"/>
        <v>0</v>
      </c>
      <c r="G373" s="632">
        <f t="shared" si="11"/>
        <v>0</v>
      </c>
    </row>
    <row r="374" spans="2:7" ht="8.25" customHeight="1" x14ac:dyDescent="0.2">
      <c r="B374" s="100"/>
      <c r="C374" s="100"/>
      <c r="D374" s="100"/>
      <c r="E374" s="100"/>
      <c r="F374" s="100"/>
      <c r="G374" s="100"/>
    </row>
    <row r="375" spans="2:7" x14ac:dyDescent="0.2">
      <c r="B375" s="90" t="str">
        <f t="shared" ref="B375:B401" si="12">B57</f>
        <v>חשבונות מקבילים</v>
      </c>
      <c r="C375" s="84"/>
      <c r="D375" s="84">
        <f t="shared" ref="D375:G390" si="13">D57</f>
        <v>0</v>
      </c>
      <c r="E375" s="84">
        <f t="shared" si="13"/>
        <v>0</v>
      </c>
      <c r="F375" s="84">
        <f t="shared" si="13"/>
        <v>0</v>
      </c>
      <c r="G375" s="85">
        <f t="shared" si="13"/>
        <v>0</v>
      </c>
    </row>
    <row r="376" spans="2:7" x14ac:dyDescent="0.2">
      <c r="B376" s="83" t="str">
        <f t="shared" si="12"/>
        <v>חייבים בגין אגרות והיטלים</v>
      </c>
      <c r="C376" s="84"/>
      <c r="D376" s="101">
        <f t="shared" si="13"/>
        <v>11031</v>
      </c>
      <c r="E376" s="84">
        <f t="shared" si="13"/>
        <v>0</v>
      </c>
      <c r="F376" s="101">
        <f t="shared" si="13"/>
        <v>11591</v>
      </c>
      <c r="G376" s="85">
        <f t="shared" si="13"/>
        <v>0</v>
      </c>
    </row>
    <row r="377" spans="2:7" x14ac:dyDescent="0.2">
      <c r="B377" s="102" t="str">
        <f t="shared" si="12"/>
        <v>עומס מלוות לפרעון (משוערך) לשנים הבאות</v>
      </c>
      <c r="C377" s="84"/>
      <c r="D377" s="88">
        <f t="shared" si="13"/>
        <v>59831</v>
      </c>
      <c r="E377" s="84">
        <f t="shared" si="13"/>
        <v>0</v>
      </c>
      <c r="F377" s="88">
        <f t="shared" si="13"/>
        <v>61322</v>
      </c>
      <c r="G377" s="85">
        <f t="shared" si="13"/>
        <v>0</v>
      </c>
    </row>
    <row r="378" spans="2:7" x14ac:dyDescent="0.2">
      <c r="B378" s="83" t="str">
        <f t="shared" si="12"/>
        <v>ערבויות שנתנו</v>
      </c>
      <c r="C378" s="84"/>
      <c r="D378" s="88">
        <f t="shared" si="13"/>
        <v>0</v>
      </c>
      <c r="E378" s="84">
        <f t="shared" si="13"/>
        <v>0</v>
      </c>
      <c r="F378" s="88">
        <f t="shared" si="13"/>
        <v>0</v>
      </c>
      <c r="G378" s="85">
        <f t="shared" si="13"/>
        <v>0</v>
      </c>
    </row>
    <row r="379" spans="2:7" x14ac:dyDescent="0.2">
      <c r="B379" s="90" t="str">
        <f t="shared" si="12"/>
        <v>פירוט מקורות מימון לכסוי הגרעון בתקציב הרגיל (1)</v>
      </c>
      <c r="C379" s="84"/>
      <c r="D379" s="84">
        <f t="shared" si="13"/>
        <v>0</v>
      </c>
      <c r="E379" s="84">
        <f t="shared" si="13"/>
        <v>0</v>
      </c>
      <c r="F379" s="84">
        <f t="shared" si="13"/>
        <v>0</v>
      </c>
      <c r="G379" s="85">
        <f t="shared" si="13"/>
        <v>0</v>
      </c>
    </row>
    <row r="380" spans="2:7" x14ac:dyDescent="0.2">
      <c r="B380" s="83" t="str">
        <f t="shared" si="12"/>
        <v>הלוואות לכסוי הגרעון</v>
      </c>
      <c r="C380" s="84"/>
      <c r="D380" s="101">
        <f t="shared" si="13"/>
        <v>0</v>
      </c>
      <c r="E380" s="84">
        <f t="shared" si="13"/>
        <v>0</v>
      </c>
      <c r="F380" s="101">
        <f t="shared" si="13"/>
        <v>0</v>
      </c>
      <c r="G380" s="85">
        <f t="shared" si="13"/>
        <v>0</v>
      </c>
    </row>
    <row r="381" spans="2:7" x14ac:dyDescent="0.2">
      <c r="B381" s="83" t="str">
        <f t="shared" si="12"/>
        <v>מענקים לכסוי הגרעון</v>
      </c>
      <c r="C381" s="84"/>
      <c r="D381" s="88">
        <f t="shared" si="13"/>
        <v>0</v>
      </c>
      <c r="E381" s="84">
        <f t="shared" si="13"/>
        <v>0</v>
      </c>
      <c r="F381" s="88">
        <f t="shared" si="13"/>
        <v>0</v>
      </c>
      <c r="G381" s="85">
        <f t="shared" si="13"/>
        <v>0</v>
      </c>
    </row>
    <row r="382" spans="2:7" x14ac:dyDescent="0.2">
      <c r="B382" s="83" t="str">
        <f t="shared" si="12"/>
        <v>קרנות / הפחתת חובות ספקים בהסדר</v>
      </c>
      <c r="C382" s="84"/>
      <c r="D382" s="88">
        <f t="shared" si="13"/>
        <v>0</v>
      </c>
      <c r="E382" s="84">
        <f t="shared" si="13"/>
        <v>0</v>
      </c>
      <c r="F382" s="88">
        <f t="shared" si="13"/>
        <v>0</v>
      </c>
      <c r="G382" s="85">
        <f t="shared" si="13"/>
        <v>0</v>
      </c>
    </row>
    <row r="383" spans="2:7" x14ac:dyDescent="0.2">
      <c r="B383" s="83" t="str">
        <f t="shared" si="12"/>
        <v>גבייה מפיגורים לכסוי הגרעון</v>
      </c>
      <c r="C383" s="84"/>
      <c r="D383" s="88">
        <f t="shared" si="13"/>
        <v>0</v>
      </c>
      <c r="E383" s="84">
        <f t="shared" si="13"/>
        <v>0</v>
      </c>
      <c r="F383" s="88">
        <f t="shared" si="13"/>
        <v>0</v>
      </c>
      <c r="G383" s="85">
        <f t="shared" si="13"/>
        <v>0</v>
      </c>
    </row>
    <row r="384" spans="2:7" ht="13.5" thickBot="1" x14ac:dyDescent="0.25">
      <c r="B384" s="83" t="str">
        <f t="shared" si="12"/>
        <v>סה"כ מקורות לכסוי הגרעון</v>
      </c>
      <c r="C384" s="84"/>
      <c r="D384" s="96">
        <f t="shared" si="13"/>
        <v>0</v>
      </c>
      <c r="E384" s="84">
        <f t="shared" si="13"/>
        <v>0</v>
      </c>
      <c r="F384" s="96">
        <f t="shared" si="13"/>
        <v>0</v>
      </c>
      <c r="G384" s="85">
        <f t="shared" si="13"/>
        <v>0</v>
      </c>
    </row>
    <row r="385" spans="2:7" ht="27.75" customHeight="1" thickTop="1" x14ac:dyDescent="0.2">
      <c r="B385" s="103" t="str">
        <f t="shared" si="12"/>
        <v>פירוט מקורות מימון לכסוי הגרעון הסופי בתב"רים (2)</v>
      </c>
      <c r="C385" s="84"/>
      <c r="D385" s="84">
        <f t="shared" si="13"/>
        <v>0</v>
      </c>
      <c r="E385" s="84">
        <f t="shared" si="13"/>
        <v>0</v>
      </c>
      <c r="F385" s="84">
        <f t="shared" si="13"/>
        <v>0</v>
      </c>
      <c r="G385" s="85">
        <f t="shared" si="13"/>
        <v>0</v>
      </c>
    </row>
    <row r="386" spans="2:7" x14ac:dyDescent="0.2">
      <c r="B386" s="83" t="str">
        <f t="shared" si="12"/>
        <v>הלוואות לכסוי הגרעון</v>
      </c>
      <c r="C386" s="84"/>
      <c r="D386" s="87">
        <f t="shared" si="13"/>
        <v>0</v>
      </c>
      <c r="E386" s="84">
        <f t="shared" si="13"/>
        <v>0</v>
      </c>
      <c r="F386" s="87">
        <f t="shared" si="13"/>
        <v>0</v>
      </c>
      <c r="G386" s="85">
        <f t="shared" si="13"/>
        <v>0</v>
      </c>
    </row>
    <row r="387" spans="2:7" x14ac:dyDescent="0.2">
      <c r="B387" s="83" t="str">
        <f t="shared" si="12"/>
        <v>מענקים לכסוי הגרעון</v>
      </c>
      <c r="C387" s="84"/>
      <c r="D387" s="88">
        <f t="shared" si="13"/>
        <v>0</v>
      </c>
      <c r="E387" s="84">
        <f t="shared" si="13"/>
        <v>0</v>
      </c>
      <c r="F387" s="88">
        <f t="shared" si="13"/>
        <v>0</v>
      </c>
      <c r="G387" s="85">
        <f t="shared" si="13"/>
        <v>0</v>
      </c>
    </row>
    <row r="388" spans="2:7" x14ac:dyDescent="0.2">
      <c r="B388" s="83" t="str">
        <f t="shared" si="12"/>
        <v>קרנות /אחר לכיסוי הגרעון</v>
      </c>
      <c r="C388" s="84"/>
      <c r="D388" s="88">
        <f t="shared" si="13"/>
        <v>0</v>
      </c>
      <c r="E388" s="84">
        <f t="shared" si="13"/>
        <v>0</v>
      </c>
      <c r="F388" s="88">
        <f t="shared" si="13"/>
        <v>0</v>
      </c>
      <c r="G388" s="85">
        <f t="shared" si="13"/>
        <v>0</v>
      </c>
    </row>
    <row r="389" spans="2:7" x14ac:dyDescent="0.2">
      <c r="B389" s="83" t="str">
        <f t="shared" si="12"/>
        <v>גבייה מפיגורים לכסוי הגרעון</v>
      </c>
      <c r="C389" s="84"/>
      <c r="D389" s="88">
        <f t="shared" si="13"/>
        <v>0</v>
      </c>
      <c r="E389" s="84">
        <f t="shared" si="13"/>
        <v>0</v>
      </c>
      <c r="F389" s="88">
        <f t="shared" si="13"/>
        <v>0</v>
      </c>
      <c r="G389" s="85">
        <f t="shared" si="13"/>
        <v>0</v>
      </c>
    </row>
    <row r="390" spans="2:7" ht="13.5" thickBot="1" x14ac:dyDescent="0.25">
      <c r="B390" s="83" t="str">
        <f t="shared" si="12"/>
        <v>סה"כ מקורות לכסוי הגרעון</v>
      </c>
      <c r="C390" s="84"/>
      <c r="D390" s="96">
        <f t="shared" si="13"/>
        <v>0</v>
      </c>
      <c r="E390" s="84">
        <f t="shared" si="13"/>
        <v>0</v>
      </c>
      <c r="F390" s="96">
        <f t="shared" si="13"/>
        <v>0</v>
      </c>
      <c r="G390" s="85">
        <f t="shared" si="13"/>
        <v>0</v>
      </c>
    </row>
    <row r="391" spans="2:7" ht="13.5" thickTop="1" x14ac:dyDescent="0.2">
      <c r="B391" s="90" t="str">
        <f t="shared" si="12"/>
        <v>הרכב קרנות בלתי מתוקצבות (3)</v>
      </c>
      <c r="C391" s="84"/>
      <c r="D391" s="84">
        <f t="shared" ref="D391:G402" si="14">D73</f>
        <v>0</v>
      </c>
      <c r="E391" s="84">
        <f t="shared" si="14"/>
        <v>0</v>
      </c>
      <c r="F391" s="84">
        <f t="shared" si="14"/>
        <v>0</v>
      </c>
      <c r="G391" s="85">
        <f t="shared" si="14"/>
        <v>0</v>
      </c>
    </row>
    <row r="392" spans="2:7" x14ac:dyDescent="0.2">
      <c r="B392" s="83" t="str">
        <f t="shared" si="12"/>
        <v>קרן עודפים בתקציב הרגיל</v>
      </c>
      <c r="C392" s="84"/>
      <c r="D392" s="87">
        <f t="shared" si="14"/>
        <v>0</v>
      </c>
      <c r="E392" s="84">
        <f t="shared" si="14"/>
        <v>0</v>
      </c>
      <c r="F392" s="87">
        <f t="shared" si="14"/>
        <v>0</v>
      </c>
      <c r="G392" s="85">
        <f t="shared" si="14"/>
        <v>0</v>
      </c>
    </row>
    <row r="393" spans="2:7" x14ac:dyDescent="0.2">
      <c r="B393" s="83" t="str">
        <f t="shared" si="12"/>
        <v>קרן היטל השבחה</v>
      </c>
      <c r="C393" s="84"/>
      <c r="D393" s="88">
        <f t="shared" si="14"/>
        <v>7838</v>
      </c>
      <c r="E393" s="84">
        <f t="shared" si="14"/>
        <v>0</v>
      </c>
      <c r="F393" s="88">
        <f t="shared" si="14"/>
        <v>8395</v>
      </c>
      <c r="G393" s="85">
        <f t="shared" si="14"/>
        <v>0</v>
      </c>
    </row>
    <row r="394" spans="2:7" x14ac:dyDescent="0.2">
      <c r="B394" s="83" t="str">
        <f t="shared" si="12"/>
        <v>קרן ממכירת נכסים</v>
      </c>
      <c r="C394" s="84"/>
      <c r="D394" s="88">
        <f t="shared" si="14"/>
        <v>238</v>
      </c>
      <c r="E394" s="84">
        <f t="shared" si="14"/>
        <v>0</v>
      </c>
      <c r="F394" s="88">
        <f t="shared" si="14"/>
        <v>269</v>
      </c>
      <c r="G394" s="85">
        <f t="shared" si="14"/>
        <v>0</v>
      </c>
    </row>
    <row r="395" spans="2:7" x14ac:dyDescent="0.2">
      <c r="B395" s="83" t="str">
        <f t="shared" si="12"/>
        <v>קרן היטל מים</v>
      </c>
      <c r="C395" s="84"/>
      <c r="D395" s="88">
        <f t="shared" si="14"/>
        <v>1051</v>
      </c>
      <c r="E395" s="84">
        <f t="shared" si="14"/>
        <v>0</v>
      </c>
      <c r="F395" s="88">
        <f t="shared" si="14"/>
        <v>926</v>
      </c>
      <c r="G395" s="85"/>
    </row>
    <row r="396" spans="2:7" x14ac:dyDescent="0.2">
      <c r="B396" s="83" t="str">
        <f t="shared" si="12"/>
        <v>קרן היטל ביוב</v>
      </c>
      <c r="C396" s="84"/>
      <c r="D396" s="88">
        <f t="shared" si="14"/>
        <v>8868</v>
      </c>
      <c r="E396" s="84">
        <f t="shared" si="14"/>
        <v>0</v>
      </c>
      <c r="F396" s="88">
        <f t="shared" si="14"/>
        <v>9355</v>
      </c>
      <c r="G396" s="85"/>
    </row>
    <row r="397" spans="2:7" x14ac:dyDescent="0.2">
      <c r="B397" s="83" t="str">
        <f t="shared" si="12"/>
        <v>קרנות אחרות</v>
      </c>
      <c r="C397" s="84"/>
      <c r="D397" s="88">
        <f t="shared" si="14"/>
        <v>25160</v>
      </c>
      <c r="E397" s="84">
        <f t="shared" si="14"/>
        <v>0</v>
      </c>
      <c r="F397" s="88">
        <f t="shared" si="14"/>
        <v>21931</v>
      </c>
      <c r="G397" s="85">
        <f>G79</f>
        <v>0</v>
      </c>
    </row>
    <row r="398" spans="2:7" ht="13.5" thickBot="1" x14ac:dyDescent="0.25">
      <c r="B398" s="83" t="str">
        <f t="shared" si="12"/>
        <v>סה"כ קרנות</v>
      </c>
      <c r="C398" s="84"/>
      <c r="D398" s="96">
        <f t="shared" si="14"/>
        <v>43155</v>
      </c>
      <c r="E398" s="84">
        <f t="shared" si="14"/>
        <v>0</v>
      </c>
      <c r="F398" s="96">
        <f t="shared" si="14"/>
        <v>40876</v>
      </c>
      <c r="G398" s="85">
        <f>G80</f>
        <v>0</v>
      </c>
    </row>
    <row r="399" spans="2:7" ht="10.5" customHeight="1" thickTop="1" x14ac:dyDescent="0.2">
      <c r="B399" s="83">
        <f t="shared" si="12"/>
        <v>0</v>
      </c>
      <c r="C399" s="84"/>
      <c r="D399" s="104">
        <f t="shared" si="14"/>
        <v>0</v>
      </c>
      <c r="E399" s="84">
        <f t="shared" si="14"/>
        <v>0</v>
      </c>
      <c r="F399" s="104">
        <f t="shared" si="14"/>
        <v>0</v>
      </c>
      <c r="G399" s="85"/>
    </row>
    <row r="400" spans="2:7" x14ac:dyDescent="0.2">
      <c r="B400" s="83" t="str">
        <f t="shared" si="12"/>
        <v xml:space="preserve">(*) מתוך זה הפרשה בגין תביעות תלויות  </v>
      </c>
      <c r="C400" s="84"/>
      <c r="D400" s="84">
        <f t="shared" si="14"/>
        <v>0</v>
      </c>
      <c r="E400" s="84">
        <f t="shared" si="14"/>
        <v>0</v>
      </c>
      <c r="F400" s="84">
        <f t="shared" si="14"/>
        <v>0</v>
      </c>
      <c r="G400" s="85">
        <f>G82</f>
        <v>0</v>
      </c>
    </row>
    <row r="401" spans="2:7" x14ac:dyDescent="0.2">
      <c r="B401" s="83">
        <f t="shared" si="12"/>
        <v>0</v>
      </c>
      <c r="C401" s="84">
        <f>C83</f>
        <v>0</v>
      </c>
      <c r="D401" s="84">
        <f t="shared" si="14"/>
        <v>0</v>
      </c>
      <c r="E401" s="84">
        <f t="shared" si="14"/>
        <v>0</v>
      </c>
      <c r="F401" s="84">
        <f t="shared" si="14"/>
        <v>0</v>
      </c>
      <c r="G401" s="85">
        <f>G83</f>
        <v>0</v>
      </c>
    </row>
    <row r="402" spans="2:7" x14ac:dyDescent="0.2">
      <c r="B402" s="105" t="str">
        <f>CONCATENATE("ביקורת:   ",BikoretCode)</f>
        <v xml:space="preserve">ביקורת:   </v>
      </c>
      <c r="C402" s="84">
        <f>C84</f>
        <v>0</v>
      </c>
      <c r="D402" s="84">
        <f t="shared" si="14"/>
        <v>0</v>
      </c>
      <c r="E402" s="84">
        <f t="shared" si="14"/>
        <v>0</v>
      </c>
      <c r="F402" s="84">
        <f t="shared" si="14"/>
        <v>0</v>
      </c>
      <c r="G402" s="85">
        <f>G84</f>
        <v>0</v>
      </c>
    </row>
  </sheetData>
  <sheetProtection password="83C1" sheet="1" objects="1" scenarios="1"/>
  <mergeCells count="9">
    <mergeCell ref="C1:H1"/>
    <mergeCell ref="C2:H2"/>
    <mergeCell ref="C3:H3"/>
    <mergeCell ref="B313:G313"/>
    <mergeCell ref="B373:G373"/>
    <mergeCell ref="B314:G314"/>
    <mergeCell ref="B315:G315"/>
    <mergeCell ref="B371:G371"/>
    <mergeCell ref="B372:G372"/>
  </mergeCells>
  <phoneticPr fontId="58" type="noConversion"/>
  <conditionalFormatting sqref="F365:F366 D365:D366">
    <cfRule type="expression" dxfId="12" priority="1" stopIfTrue="1">
      <formula>$B$365=""</formula>
    </cfRule>
  </conditionalFormatting>
  <conditionalFormatting sqref="F338:F339 D338:D339">
    <cfRule type="expression" dxfId="11" priority="2" stopIfTrue="1">
      <formula>$B$338=""</formula>
    </cfRule>
  </conditionalFormatting>
  <conditionalFormatting sqref="D340 F340">
    <cfRule type="expression" dxfId="10" priority="3" stopIfTrue="1">
      <formula>$B$340=""</formula>
    </cfRule>
  </conditionalFormatting>
  <conditionalFormatting sqref="B370">
    <cfRule type="expression" dxfId="9" priority="4" stopIfTrue="1">
      <formula>$L$3=0</formula>
    </cfRule>
  </conditionalFormatting>
  <conditionalFormatting sqref="D52 F52">
    <cfRule type="expression" dxfId="8" priority="5" stopIfTrue="1">
      <formula>$B$52=""</formula>
    </cfRule>
  </conditionalFormatting>
  <conditionalFormatting sqref="D53 F53">
    <cfRule type="expression" dxfId="7" priority="6" stopIfTrue="1">
      <formula>$B$53=""</formula>
    </cfRule>
  </conditionalFormatting>
  <conditionalFormatting sqref="D26 F26">
    <cfRule type="expression" dxfId="6" priority="7" stopIfTrue="1">
      <formula>$B$26=""</formula>
    </cfRule>
  </conditionalFormatting>
  <conditionalFormatting sqref="D27 F27">
    <cfRule type="expression" dxfId="5" priority="8" stopIfTrue="1">
      <formula>$B$27=""</formula>
    </cfRule>
  </conditionalFormatting>
  <conditionalFormatting sqref="D28 F28">
    <cfRule type="expression" dxfId="4" priority="9" stopIfTrue="1">
      <formula>$B$28=""</formula>
    </cfRule>
  </conditionalFormatting>
  <dataValidations xWindow="534" yWindow="591" count="5">
    <dataValidation type="decimal" errorStyle="warning" operator="lessThan" allowBlank="1" showInputMessage="1" showErrorMessage="1" prompt="חובה להזין מספר שלילי" sqref="D49 F49 F18 D18 D22 F22">
      <formula1>0</formula1>
    </dataValidation>
    <dataValidation errorStyle="warning" operator="lessThan" allowBlank="1" showErrorMessage="1" prompt="חובה להזין מספר שלילי" sqref="D24:D29 F24:F29"/>
    <dataValidation errorStyle="warning" operator="lessThan" allowBlank="1" showErrorMessage="1" sqref="D23"/>
    <dataValidation errorStyle="warning" operator="lessThan" allowBlank="1" sqref="F50:F53 D50:D53 F23 E18 E22:E29"/>
    <dataValidation type="custom" allowBlank="1" showInputMessage="1" showErrorMessage="1" errorTitle="יישום הדוח הרבעוני" error="יש להקליד מספר שלם" sqref="D9:D11 F9:F11 D13:D14 F13:F14 D17 F17 D19 F19 D21 F21 D33:D36 F33:F36 D38 F38 D41 D43 F41 F43 D45:D46 F45:F46 D58 F58 D60 F60 D62:D65 F62:F65 D68:D71 F68:F71 D74:D79 F74:F79 D82 F82">
      <formula1>ISERROR(SEARCH(".",D9,1))</formula1>
    </dataValidation>
  </dataValidations>
  <hyperlinks>
    <hyperlink ref="A4" location="'תוכן הענינים'!A1" tooltip="לחץ להצגת גליון תוכן הענינים" display="הצג תוכן ענינים"/>
  </hyperlinks>
  <pageMargins left="0.75" right="0.75" top="1" bottom="1" header="0.5" footer="0.5"/>
  <pageSetup paperSize="9" scale="84" orientation="portrait" blackAndWhite="1" r:id="rId1"/>
  <headerFooter alignWithMargins="0"/>
  <rowBreaks count="1" manualBreakCount="1">
    <brk id="370" min="1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A1:O375"/>
  <sheetViews>
    <sheetView showRowColHeaders="0" showZeros="0" rightToLeft="1" zoomScale="85" workbookViewId="0">
      <selection activeCell="A5" sqref="A5"/>
    </sheetView>
  </sheetViews>
  <sheetFormatPr defaultColWidth="9.140625" defaultRowHeight="12.75" x14ac:dyDescent="0.2"/>
  <cols>
    <col min="1" max="1" width="12.5703125" style="42" customWidth="1"/>
    <col min="2" max="2" width="28.85546875" style="42" customWidth="1"/>
    <col min="3" max="3" width="13" style="42" customWidth="1"/>
    <col min="4" max="4" width="2.140625" style="42" customWidth="1"/>
    <col min="5" max="5" width="13" style="42" customWidth="1"/>
    <col min="6" max="6" width="2.140625" style="42" customWidth="1"/>
    <col min="7" max="7" width="12.85546875" style="42" customWidth="1"/>
    <col min="8" max="8" width="2.140625" style="42" customWidth="1"/>
    <col min="9" max="9" width="13" style="42" customWidth="1"/>
    <col min="10" max="10" width="2.140625" style="42" customWidth="1"/>
    <col min="11" max="11" width="13" style="42" customWidth="1"/>
    <col min="12" max="12" width="11" style="42" customWidth="1"/>
    <col min="13" max="13" width="13.85546875" style="42" customWidth="1"/>
    <col min="14" max="14" width="26.140625" style="42" customWidth="1"/>
    <col min="15" max="16384" width="9.140625" style="42"/>
  </cols>
  <sheetData>
    <row r="1" spans="1:15" ht="19.5" thickTop="1" thickBot="1" x14ac:dyDescent="0.25">
      <c r="A1" s="41"/>
      <c r="B1" s="41"/>
      <c r="C1" s="626" t="str">
        <f>GufMevukar</f>
        <v>מ"א עמק הירדן</v>
      </c>
      <c r="D1" s="627"/>
      <c r="E1" s="627"/>
      <c r="F1" s="627"/>
      <c r="G1" s="627"/>
      <c r="H1" s="627"/>
      <c r="I1" s="627"/>
      <c r="J1" s="627"/>
      <c r="K1" s="627"/>
      <c r="L1" s="628"/>
      <c r="M1" s="41"/>
    </row>
    <row r="2" spans="1:15" ht="19.5" thickTop="1" thickBot="1" x14ac:dyDescent="0.25">
      <c r="A2" s="41"/>
      <c r="B2" s="41"/>
      <c r="C2" s="634" t="s">
        <v>642</v>
      </c>
      <c r="D2" s="635"/>
      <c r="E2" s="635"/>
      <c r="F2" s="635"/>
      <c r="G2" s="635"/>
      <c r="H2" s="635"/>
      <c r="I2" s="635"/>
      <c r="J2" s="635"/>
      <c r="K2" s="635"/>
      <c r="L2" s="636"/>
      <c r="M2" s="41"/>
    </row>
    <row r="3" spans="1:15" ht="19.5" thickTop="1" thickBot="1" x14ac:dyDescent="0.25">
      <c r="A3" s="41"/>
      <c r="B3" s="41"/>
      <c r="C3" s="626" t="str">
        <f>ReportPeriod</f>
        <v>לתקופה: רבעון 1, שנת 2017</v>
      </c>
      <c r="D3" s="627"/>
      <c r="E3" s="627"/>
      <c r="F3" s="627"/>
      <c r="G3" s="627"/>
      <c r="H3" s="627"/>
      <c r="I3" s="627"/>
      <c r="J3" s="627"/>
      <c r="K3" s="627"/>
      <c r="L3" s="628"/>
      <c r="M3" s="41"/>
    </row>
    <row r="4" spans="1:15" ht="13.5" hidden="1" thickTop="1" x14ac:dyDescent="0.2">
      <c r="A4" s="231"/>
      <c r="B4" s="232"/>
      <c r="C4" s="149"/>
      <c r="D4" s="149"/>
      <c r="E4" s="233"/>
      <c r="F4" s="233"/>
      <c r="G4" s="109">
        <f>'הגדרות כלליות'!D20</f>
        <v>1</v>
      </c>
      <c r="H4" s="109"/>
      <c r="I4" s="149"/>
      <c r="J4" s="149"/>
      <c r="K4" s="149"/>
      <c r="L4" s="149"/>
      <c r="M4" s="149"/>
    </row>
    <row r="5" spans="1:15" ht="13.5" thickTop="1" x14ac:dyDescent="0.2">
      <c r="A5" s="59" t="s">
        <v>584</v>
      </c>
      <c r="B5" s="59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  <c r="O5" s="42" t="str">
        <f>Ishur</f>
        <v>משרד הפנים</v>
      </c>
    </row>
    <row r="6" spans="1:15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5" ht="33.75" customHeight="1" x14ac:dyDescent="0.2">
      <c r="A7" s="43"/>
      <c r="B7" s="45"/>
      <c r="C7" s="528" t="s">
        <v>848</v>
      </c>
      <c r="D7" s="45"/>
      <c r="E7" s="45" t="s">
        <v>643</v>
      </c>
      <c r="F7" s="45"/>
      <c r="G7" s="60" t="s">
        <v>644</v>
      </c>
      <c r="H7" s="45"/>
      <c r="I7" s="45" t="s">
        <v>645</v>
      </c>
      <c r="J7" s="45"/>
      <c r="K7" s="45" t="s">
        <v>646</v>
      </c>
      <c r="L7" s="45"/>
      <c r="M7" s="44"/>
    </row>
    <row r="8" spans="1:15" x14ac:dyDescent="0.2">
      <c r="A8" s="43"/>
      <c r="B8" s="46"/>
      <c r="C8" s="47"/>
      <c r="D8" s="47"/>
      <c r="E8" s="47"/>
      <c r="F8" s="47"/>
      <c r="G8" s="47"/>
      <c r="H8" s="47"/>
      <c r="I8" s="47"/>
      <c r="J8" s="47"/>
      <c r="K8" s="47"/>
      <c r="L8" s="61"/>
      <c r="M8" s="44"/>
    </row>
    <row r="9" spans="1:15" ht="15.75" x14ac:dyDescent="0.2">
      <c r="A9" s="43"/>
      <c r="B9" s="62" t="s">
        <v>647</v>
      </c>
      <c r="C9" s="47"/>
      <c r="D9" s="47"/>
      <c r="E9" s="47"/>
      <c r="F9" s="47"/>
      <c r="G9" s="47"/>
      <c r="H9" s="47"/>
      <c r="I9" s="47"/>
      <c r="J9" s="47"/>
      <c r="K9" s="47"/>
      <c r="L9" s="61"/>
      <c r="M9" s="44"/>
    </row>
    <row r="10" spans="1:15" x14ac:dyDescent="0.2">
      <c r="A10" s="43"/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61"/>
      <c r="M10" s="44"/>
    </row>
    <row r="11" spans="1:15" ht="12" customHeight="1" x14ac:dyDescent="0.2">
      <c r="A11" s="43"/>
      <c r="B11" s="66" t="s">
        <v>648</v>
      </c>
      <c r="C11" s="50">
        <v>48525</v>
      </c>
      <c r="D11" s="47"/>
      <c r="E11" s="152">
        <f>C11*MIN($G$4,4)/4</f>
        <v>12131.25</v>
      </c>
      <c r="F11" s="47"/>
      <c r="G11" s="50">
        <v>12630</v>
      </c>
      <c r="H11" s="47"/>
      <c r="I11" s="152">
        <f t="shared" ref="I11:I16" si="0">G11-E11</f>
        <v>498.75</v>
      </c>
      <c r="J11" s="47"/>
      <c r="K11" s="189">
        <f t="shared" ref="K11:K16" si="1">IF(E11=0,0,I11/E11)</f>
        <v>4.1112828438948992E-2</v>
      </c>
      <c r="L11" s="61"/>
      <c r="M11" s="44"/>
    </row>
    <row r="12" spans="1:15" x14ac:dyDescent="0.2">
      <c r="A12" s="43"/>
      <c r="B12" s="66" t="s">
        <v>649</v>
      </c>
      <c r="C12" s="50">
        <v>990</v>
      </c>
      <c r="D12" s="47"/>
      <c r="E12" s="152">
        <f>C12*MIN($G$4,4)/4</f>
        <v>247.5</v>
      </c>
      <c r="F12" s="47"/>
      <c r="G12" s="50">
        <v>228</v>
      </c>
      <c r="H12" s="47"/>
      <c r="I12" s="152">
        <f t="shared" si="0"/>
        <v>-19.5</v>
      </c>
      <c r="J12" s="47"/>
      <c r="K12" s="189">
        <f t="shared" si="1"/>
        <v>-7.8787878787878782E-2</v>
      </c>
      <c r="L12" s="61"/>
      <c r="M12" s="44"/>
    </row>
    <row r="13" spans="1:15" x14ac:dyDescent="0.2">
      <c r="A13" s="43"/>
      <c r="B13" s="66" t="s">
        <v>850</v>
      </c>
      <c r="C13" s="50">
        <v>3668</v>
      </c>
      <c r="D13" s="47"/>
      <c r="E13" s="152">
        <f>C13*MIN($G$4,4)/4</f>
        <v>917</v>
      </c>
      <c r="F13" s="47"/>
      <c r="G13" s="50">
        <v>1295</v>
      </c>
      <c r="H13" s="47"/>
      <c r="I13" s="152">
        <f t="shared" si="0"/>
        <v>378</v>
      </c>
      <c r="J13" s="47"/>
      <c r="K13" s="189">
        <f t="shared" si="1"/>
        <v>0.41221374045801529</v>
      </c>
      <c r="L13" s="61"/>
      <c r="M13" s="44"/>
    </row>
    <row r="14" spans="1:15" x14ac:dyDescent="0.2">
      <c r="A14" s="43"/>
      <c r="B14" s="66" t="s">
        <v>851</v>
      </c>
      <c r="C14" s="50">
        <v>604</v>
      </c>
      <c r="D14" s="47"/>
      <c r="E14" s="152">
        <f>C14*MIN($G$4,4)/4</f>
        <v>151</v>
      </c>
      <c r="F14" s="47"/>
      <c r="G14" s="50">
        <v>142</v>
      </c>
      <c r="H14" s="47"/>
      <c r="I14" s="152">
        <f t="shared" si="0"/>
        <v>-9</v>
      </c>
      <c r="J14" s="47"/>
      <c r="K14" s="189">
        <f t="shared" si="1"/>
        <v>-5.9602649006622516E-2</v>
      </c>
      <c r="L14" s="61"/>
      <c r="M14" s="44"/>
    </row>
    <row r="15" spans="1:15" x14ac:dyDescent="0.2">
      <c r="A15" s="43"/>
      <c r="B15" s="234" t="s">
        <v>852</v>
      </c>
      <c r="C15" s="50">
        <f>28426</f>
        <v>28426</v>
      </c>
      <c r="D15" s="47"/>
      <c r="E15" s="152">
        <f>C15*MIN($G$4,4)/4</f>
        <v>7106.5</v>
      </c>
      <c r="F15" s="47"/>
      <c r="G15" s="50">
        <f>6511+103-50</f>
        <v>6564</v>
      </c>
      <c r="H15" s="47"/>
      <c r="I15" s="152">
        <f t="shared" si="0"/>
        <v>-542.5</v>
      </c>
      <c r="J15" s="47"/>
      <c r="K15" s="189">
        <f t="shared" si="1"/>
        <v>-7.6338563287131497E-2</v>
      </c>
      <c r="L15" s="61"/>
      <c r="M15" s="44"/>
    </row>
    <row r="16" spans="1:15" x14ac:dyDescent="0.2">
      <c r="A16" s="43"/>
      <c r="B16" s="46" t="s">
        <v>650</v>
      </c>
      <c r="C16" s="51">
        <f>SUM(C11:C15)</f>
        <v>82213</v>
      </c>
      <c r="D16" s="47"/>
      <c r="E16" s="51">
        <f>SUM(E11:E15)</f>
        <v>20553.25</v>
      </c>
      <c r="F16" s="47"/>
      <c r="G16" s="51">
        <f>SUM(G11:G15)</f>
        <v>20859</v>
      </c>
      <c r="H16" s="47"/>
      <c r="I16" s="51">
        <f t="shared" si="0"/>
        <v>305.75</v>
      </c>
      <c r="J16" s="47"/>
      <c r="K16" s="464">
        <f t="shared" si="1"/>
        <v>1.4875992847846447E-2</v>
      </c>
      <c r="L16" s="61"/>
      <c r="M16" s="44"/>
    </row>
    <row r="17" spans="1:13" x14ac:dyDescent="0.2">
      <c r="A17" s="43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61"/>
      <c r="M17" s="44"/>
    </row>
    <row r="18" spans="1:13" x14ac:dyDescent="0.2">
      <c r="A18" s="43"/>
      <c r="B18" s="46" t="s">
        <v>651</v>
      </c>
      <c r="C18" s="50">
        <v>45356</v>
      </c>
      <c r="D18" s="47"/>
      <c r="E18" s="152">
        <f t="shared" ref="E18:E25" si="2">C18*MIN($G$4,4)/4</f>
        <v>11339</v>
      </c>
      <c r="F18" s="47"/>
      <c r="G18" s="50">
        <f>10731+53*0.9407+119*0.9407</f>
        <v>10892.8004</v>
      </c>
      <c r="H18" s="47"/>
      <c r="I18" s="152">
        <f t="shared" ref="I18:I25" si="3">G18-E18</f>
        <v>-446.19959999999992</v>
      </c>
      <c r="J18" s="47"/>
      <c r="K18" s="189">
        <f t="shared" ref="K18:K25" si="4">IF(E18=0,0,I18/E18)</f>
        <v>-3.9350877502425254E-2</v>
      </c>
      <c r="L18" s="61"/>
      <c r="M18" s="44"/>
    </row>
    <row r="19" spans="1:13" x14ac:dyDescent="0.2">
      <c r="A19" s="43"/>
      <c r="B19" s="46" t="s">
        <v>652</v>
      </c>
      <c r="C19" s="50">
        <v>9308</v>
      </c>
      <c r="D19" s="47"/>
      <c r="E19" s="152">
        <f t="shared" si="2"/>
        <v>2327</v>
      </c>
      <c r="F19" s="47"/>
      <c r="G19" s="50">
        <v>2086</v>
      </c>
      <c r="H19" s="47"/>
      <c r="I19" s="152">
        <f t="shared" si="3"/>
        <v>-241</v>
      </c>
      <c r="J19" s="47"/>
      <c r="K19" s="189">
        <f t="shared" si="4"/>
        <v>-0.1035668242372153</v>
      </c>
      <c r="L19" s="61"/>
      <c r="M19" s="44"/>
    </row>
    <row r="20" spans="1:13" x14ac:dyDescent="0.2">
      <c r="A20" s="43"/>
      <c r="B20" s="46" t="s">
        <v>653</v>
      </c>
      <c r="C20" s="50">
        <v>9050</v>
      </c>
      <c r="D20" s="47"/>
      <c r="E20" s="152">
        <f t="shared" si="2"/>
        <v>2262.5</v>
      </c>
      <c r="F20" s="47"/>
      <c r="G20" s="50">
        <f>1736+300</f>
        <v>2036</v>
      </c>
      <c r="H20" s="47"/>
      <c r="I20" s="152">
        <f t="shared" si="3"/>
        <v>-226.5</v>
      </c>
      <c r="J20" s="47"/>
      <c r="K20" s="189">
        <f t="shared" si="4"/>
        <v>-0.10011049723756905</v>
      </c>
      <c r="L20" s="61"/>
      <c r="M20" s="44"/>
    </row>
    <row r="21" spans="1:13" x14ac:dyDescent="0.2">
      <c r="A21" s="43"/>
      <c r="B21" s="46" t="s">
        <v>654</v>
      </c>
      <c r="C21" s="50">
        <v>4200</v>
      </c>
      <c r="D21" s="47"/>
      <c r="E21" s="152">
        <f t="shared" si="2"/>
        <v>1050</v>
      </c>
      <c r="F21" s="47"/>
      <c r="G21" s="50">
        <v>1120</v>
      </c>
      <c r="H21" s="47"/>
      <c r="I21" s="152">
        <f t="shared" si="3"/>
        <v>70</v>
      </c>
      <c r="J21" s="47"/>
      <c r="K21" s="189">
        <f t="shared" si="4"/>
        <v>6.6666666666666666E-2</v>
      </c>
      <c r="L21" s="61"/>
      <c r="M21" s="44"/>
    </row>
    <row r="22" spans="1:13" x14ac:dyDescent="0.2">
      <c r="A22" s="43"/>
      <c r="B22" s="66" t="s">
        <v>655</v>
      </c>
      <c r="C22" s="50">
        <v>147</v>
      </c>
      <c r="D22" s="47"/>
      <c r="E22" s="152">
        <f t="shared" si="2"/>
        <v>36.75</v>
      </c>
      <c r="F22" s="47"/>
      <c r="G22" s="50">
        <v>0</v>
      </c>
      <c r="H22" s="47"/>
      <c r="I22" s="152">
        <f t="shared" si="3"/>
        <v>-36.75</v>
      </c>
      <c r="J22" s="47"/>
      <c r="K22" s="189">
        <f t="shared" si="4"/>
        <v>-1</v>
      </c>
      <c r="L22" s="61"/>
      <c r="M22" s="44"/>
    </row>
    <row r="23" spans="1:13" ht="12" customHeight="1" x14ac:dyDescent="0.2">
      <c r="A23" s="43"/>
      <c r="B23" s="46" t="s">
        <v>656</v>
      </c>
      <c r="C23" s="50">
        <v>1855</v>
      </c>
      <c r="D23" s="47"/>
      <c r="E23" s="152">
        <f t="shared" si="2"/>
        <v>463.75</v>
      </c>
      <c r="F23" s="47"/>
      <c r="G23" s="50">
        <f>594+250</f>
        <v>844</v>
      </c>
      <c r="H23" s="47"/>
      <c r="I23" s="152">
        <f t="shared" si="3"/>
        <v>380.25</v>
      </c>
      <c r="J23" s="47"/>
      <c r="K23" s="189">
        <f t="shared" si="4"/>
        <v>0.81994609164420484</v>
      </c>
      <c r="L23" s="61"/>
      <c r="M23" s="44"/>
    </row>
    <row r="24" spans="1:13" ht="3" hidden="1" customHeight="1" x14ac:dyDescent="0.2">
      <c r="A24" s="43"/>
      <c r="B24" s="66"/>
      <c r="C24" s="469"/>
      <c r="D24" s="47"/>
      <c r="E24" s="470">
        <f t="shared" si="2"/>
        <v>0</v>
      </c>
      <c r="F24" s="47"/>
      <c r="G24" s="469"/>
      <c r="H24" s="47"/>
      <c r="I24" s="470">
        <f t="shared" si="3"/>
        <v>0</v>
      </c>
      <c r="J24" s="47"/>
      <c r="K24" s="471">
        <f t="shared" si="4"/>
        <v>0</v>
      </c>
      <c r="L24" s="61"/>
      <c r="M24" s="44"/>
    </row>
    <row r="25" spans="1:13" ht="23.25" customHeight="1" x14ac:dyDescent="0.2">
      <c r="A25" s="43"/>
      <c r="B25" s="246" t="s">
        <v>657</v>
      </c>
      <c r="C25" s="235">
        <f>C16+SUM(C18:C24)</f>
        <v>152129</v>
      </c>
      <c r="D25" s="47"/>
      <c r="E25" s="235">
        <f t="shared" si="2"/>
        <v>38032.25</v>
      </c>
      <c r="F25" s="47"/>
      <c r="G25" s="122">
        <f>SUM(G18:G24)+G16</f>
        <v>37837.8004</v>
      </c>
      <c r="H25" s="47"/>
      <c r="I25" s="236">
        <f t="shared" si="3"/>
        <v>-194.44959999999992</v>
      </c>
      <c r="J25" s="47"/>
      <c r="K25" s="465">
        <f t="shared" si="4"/>
        <v>-5.1127556218735397E-3</v>
      </c>
      <c r="L25" s="61"/>
      <c r="M25" s="44"/>
    </row>
    <row r="26" spans="1:13" ht="4.5" customHeight="1" x14ac:dyDescent="0.2">
      <c r="A26" s="43"/>
      <c r="B26" s="66"/>
      <c r="C26" s="237"/>
      <c r="D26" s="238"/>
      <c r="E26" s="237"/>
      <c r="F26" s="238"/>
      <c r="G26" s="69"/>
      <c r="H26" s="238"/>
      <c r="I26" s="239"/>
      <c r="J26" s="238"/>
      <c r="K26" s="240"/>
      <c r="L26" s="61"/>
      <c r="M26" s="44"/>
    </row>
    <row r="27" spans="1:13" hidden="1" x14ac:dyDescent="0.2">
      <c r="A27" s="43"/>
      <c r="B27" s="66" t="s">
        <v>658</v>
      </c>
      <c r="C27" s="64"/>
      <c r="D27" s="47"/>
      <c r="E27" s="241">
        <f>C27*MIN($G$4,4)/4</f>
        <v>0</v>
      </c>
      <c r="F27" s="47"/>
      <c r="G27" s="64"/>
      <c r="H27" s="47"/>
      <c r="I27" s="241">
        <f>G27-E27</f>
        <v>0</v>
      </c>
      <c r="J27" s="47"/>
      <c r="K27" s="242">
        <f>IF(E27=0,0,I27/E27)</f>
        <v>0</v>
      </c>
      <c r="L27" s="61"/>
      <c r="M27" s="44"/>
    </row>
    <row r="28" spans="1:13" x14ac:dyDescent="0.2">
      <c r="A28" s="43"/>
      <c r="B28" s="66" t="s">
        <v>659</v>
      </c>
      <c r="C28" s="50"/>
      <c r="D28" s="47"/>
      <c r="E28" s="152">
        <f>C28*MIN($G$4,4)/4</f>
        <v>0</v>
      </c>
      <c r="F28" s="47"/>
      <c r="G28" s="50"/>
      <c r="H28" s="47"/>
      <c r="I28" s="152">
        <f>G28-E28</f>
        <v>0</v>
      </c>
      <c r="J28" s="47"/>
      <c r="K28" s="189">
        <f>IF(E28=0,0,I28/E28)</f>
        <v>0</v>
      </c>
      <c r="L28" s="61"/>
      <c r="M28" s="44"/>
    </row>
    <row r="29" spans="1:13" x14ac:dyDescent="0.2">
      <c r="A29" s="43"/>
      <c r="B29" s="66" t="s">
        <v>660</v>
      </c>
      <c r="C29" s="50">
        <v>4300</v>
      </c>
      <c r="D29" s="47"/>
      <c r="E29" s="152">
        <f>C29*MIN($G$4,4)/4</f>
        <v>1075</v>
      </c>
      <c r="F29" s="47"/>
      <c r="G29" s="50">
        <v>1195</v>
      </c>
      <c r="H29" s="47"/>
      <c r="I29" s="152">
        <f>G29-E29</f>
        <v>120</v>
      </c>
      <c r="J29" s="47"/>
      <c r="K29" s="189">
        <f>IF(E29=0,0,I29/E29)</f>
        <v>0.11162790697674418</v>
      </c>
      <c r="L29" s="61"/>
      <c r="M29" s="44"/>
    </row>
    <row r="30" spans="1:13" ht="13.5" thickBot="1" x14ac:dyDescent="0.25">
      <c r="A30" s="43"/>
      <c r="B30" s="46" t="s">
        <v>661</v>
      </c>
      <c r="C30" s="51">
        <f>SUM(C27:C29)+C25</f>
        <v>156429</v>
      </c>
      <c r="D30" s="47"/>
      <c r="E30" s="51">
        <f>SUM(E27:E29)+E25</f>
        <v>39107.25</v>
      </c>
      <c r="F30" s="47"/>
      <c r="G30" s="51">
        <f>SUM(G27:G29)+G25</f>
        <v>39032.8004</v>
      </c>
      <c r="H30" s="47"/>
      <c r="I30" s="51">
        <f>G30-E30</f>
        <v>-74.449599999999919</v>
      </c>
      <c r="J30" s="47"/>
      <c r="K30" s="466">
        <f>IF(E30=0,0,I30/E30)</f>
        <v>-1.9037288482314639E-3</v>
      </c>
      <c r="L30" s="61"/>
      <c r="M30" s="44"/>
    </row>
    <row r="31" spans="1:13" ht="21.75" customHeight="1" thickTop="1" x14ac:dyDescent="0.2">
      <c r="A31" s="43"/>
      <c r="B31" s="62" t="s">
        <v>662</v>
      </c>
      <c r="C31" s="47"/>
      <c r="D31" s="47"/>
      <c r="E31" s="47"/>
      <c r="F31" s="47"/>
      <c r="G31" s="47"/>
      <c r="H31" s="47"/>
      <c r="I31" s="47"/>
      <c r="J31" s="47"/>
      <c r="K31" s="47"/>
      <c r="L31" s="61"/>
      <c r="M31" s="44"/>
    </row>
    <row r="32" spans="1:13" x14ac:dyDescent="0.2">
      <c r="A32" s="43"/>
      <c r="B32" s="46" t="s">
        <v>663</v>
      </c>
      <c r="C32" s="50">
        <v>24289</v>
      </c>
      <c r="D32" s="47"/>
      <c r="E32" s="152">
        <f>C32*MIN($G$4,4)/4</f>
        <v>6072.25</v>
      </c>
      <c r="F32" s="47"/>
      <c r="G32" s="50">
        <f>5831+227+96+53-20</f>
        <v>6187</v>
      </c>
      <c r="H32" s="47"/>
      <c r="I32" s="152">
        <f>G32-E32</f>
        <v>114.75</v>
      </c>
      <c r="J32" s="47"/>
      <c r="K32" s="189">
        <f>IF(E32=0,0,I32/E32)</f>
        <v>1.8897443287084689E-2</v>
      </c>
      <c r="L32" s="61"/>
      <c r="M32" s="44"/>
    </row>
    <row r="33" spans="1:13" x14ac:dyDescent="0.2">
      <c r="A33" s="43"/>
      <c r="B33" s="46" t="s">
        <v>664</v>
      </c>
      <c r="C33" s="50">
        <v>40811</v>
      </c>
      <c r="D33" s="47"/>
      <c r="E33" s="152">
        <f>C33*MIN($G$4,4)/4</f>
        <v>10202.75</v>
      </c>
      <c r="F33" s="47"/>
      <c r="G33" s="50">
        <f>9040+280+222+105+37.5*2+2+50</f>
        <v>9774</v>
      </c>
      <c r="H33" s="47"/>
      <c r="I33" s="152">
        <f>G33-E33</f>
        <v>-428.75</v>
      </c>
      <c r="J33" s="47"/>
      <c r="K33" s="189">
        <f>IF(E33=0,0,I33/E33)</f>
        <v>-4.2022983999411921E-2</v>
      </c>
      <c r="L33" s="61"/>
      <c r="M33" s="44"/>
    </row>
    <row r="34" spans="1:13" x14ac:dyDescent="0.2">
      <c r="A34" s="43"/>
      <c r="B34" s="66" t="s">
        <v>665</v>
      </c>
      <c r="C34" s="50">
        <v>1100</v>
      </c>
      <c r="D34" s="47"/>
      <c r="E34" s="152">
        <f>C34*MIN($G$4,4)/4</f>
        <v>275</v>
      </c>
      <c r="F34" s="47"/>
      <c r="G34" s="50">
        <v>266</v>
      </c>
      <c r="H34" s="47"/>
      <c r="I34" s="152">
        <f>G34-E34</f>
        <v>-9</v>
      </c>
      <c r="J34" s="47"/>
      <c r="K34" s="189">
        <f>IF(E34=0,0,I34/E34)</f>
        <v>-3.272727272727273E-2</v>
      </c>
      <c r="L34" s="61"/>
      <c r="M34" s="44"/>
    </row>
    <row r="35" spans="1:13" x14ac:dyDescent="0.2">
      <c r="A35" s="43"/>
      <c r="B35" s="46" t="s">
        <v>666</v>
      </c>
      <c r="C35" s="51">
        <f>SUM(C32:C34)</f>
        <v>66200</v>
      </c>
      <c r="D35" s="47"/>
      <c r="E35" s="51">
        <f>SUM(E32:E34)</f>
        <v>16550</v>
      </c>
      <c r="F35" s="47"/>
      <c r="G35" s="51">
        <f>SUM(G32:G34)</f>
        <v>16227</v>
      </c>
      <c r="H35" s="47"/>
      <c r="I35" s="51">
        <f>G35-E35</f>
        <v>-323</v>
      </c>
      <c r="J35" s="47"/>
      <c r="K35" s="244">
        <f>IF(E35=0,0,I35/E35)</f>
        <v>-1.9516616314199396E-2</v>
      </c>
      <c r="L35" s="61"/>
      <c r="M35" s="44"/>
    </row>
    <row r="36" spans="1:13" x14ac:dyDescent="0.2">
      <c r="A36" s="43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61"/>
      <c r="M36" s="44"/>
    </row>
    <row r="37" spans="1:13" x14ac:dyDescent="0.2">
      <c r="A37" s="43"/>
      <c r="B37" s="46" t="s">
        <v>667</v>
      </c>
      <c r="C37" s="50">
        <v>33706</v>
      </c>
      <c r="D37" s="47"/>
      <c r="E37" s="152">
        <f>C37*MIN($G$4,4)/4</f>
        <v>8426.5</v>
      </c>
      <c r="F37" s="47"/>
      <c r="G37" s="50">
        <f>7778+53+119</f>
        <v>7950</v>
      </c>
      <c r="H37" s="47"/>
      <c r="I37" s="152">
        <f t="shared" ref="I37:I42" si="5">G37-E37</f>
        <v>-476.5</v>
      </c>
      <c r="J37" s="47"/>
      <c r="K37" s="189">
        <f t="shared" ref="K37:K42" si="6">IF(E37=0,0,I37/E37)</f>
        <v>-5.6547795644692339E-2</v>
      </c>
      <c r="L37" s="61"/>
      <c r="M37" s="44"/>
    </row>
    <row r="38" spans="1:13" x14ac:dyDescent="0.2">
      <c r="A38" s="43"/>
      <c r="B38" s="46" t="s">
        <v>668</v>
      </c>
      <c r="C38" s="50">
        <v>27811</v>
      </c>
      <c r="D38" s="47"/>
      <c r="E38" s="152">
        <f>C38*MIN($G$4,4)/4</f>
        <v>6952.75</v>
      </c>
      <c r="F38" s="47"/>
      <c r="G38" s="50">
        <f>7498+150</f>
        <v>7648</v>
      </c>
      <c r="H38" s="47"/>
      <c r="I38" s="152">
        <f t="shared" si="5"/>
        <v>695.25</v>
      </c>
      <c r="J38" s="47"/>
      <c r="K38" s="189">
        <f t="shared" si="6"/>
        <v>9.9996404300456657E-2</v>
      </c>
      <c r="L38" s="61"/>
      <c r="M38" s="44"/>
    </row>
    <row r="39" spans="1:13" x14ac:dyDescent="0.2">
      <c r="A39" s="43"/>
      <c r="B39" s="46" t="s">
        <v>669</v>
      </c>
      <c r="C39" s="51">
        <f>SUM(C37:C38)</f>
        <v>61517</v>
      </c>
      <c r="D39" s="47"/>
      <c r="E39" s="51">
        <f>SUM(E37:E38)</f>
        <v>15379.25</v>
      </c>
      <c r="F39" s="47"/>
      <c r="G39" s="51">
        <f>SUM(G37:G38)</f>
        <v>15598</v>
      </c>
      <c r="H39" s="47"/>
      <c r="I39" s="51">
        <f t="shared" si="5"/>
        <v>218.75</v>
      </c>
      <c r="J39" s="47"/>
      <c r="K39" s="245">
        <f t="shared" si="6"/>
        <v>1.4223710519043517E-2</v>
      </c>
      <c r="L39" s="61"/>
      <c r="M39" s="44"/>
    </row>
    <row r="40" spans="1:13" x14ac:dyDescent="0.2">
      <c r="A40" s="43"/>
      <c r="B40" s="46" t="s">
        <v>670</v>
      </c>
      <c r="C40" s="64">
        <v>2210</v>
      </c>
      <c r="D40" s="47"/>
      <c r="E40" s="241">
        <f>C40*MIN($G$4,4)/4</f>
        <v>552.5</v>
      </c>
      <c r="F40" s="47"/>
      <c r="G40" s="64">
        <f>511+20</f>
        <v>531</v>
      </c>
      <c r="H40" s="47"/>
      <c r="I40" s="241">
        <f t="shared" si="5"/>
        <v>-21.5</v>
      </c>
      <c r="J40" s="47"/>
      <c r="K40" s="189">
        <f t="shared" si="6"/>
        <v>-3.8914027149321267E-2</v>
      </c>
      <c r="L40" s="61"/>
      <c r="M40" s="44"/>
    </row>
    <row r="41" spans="1:13" x14ac:dyDescent="0.2">
      <c r="A41" s="43"/>
      <c r="B41" s="46" t="s">
        <v>671</v>
      </c>
      <c r="C41" s="50">
        <v>12174</v>
      </c>
      <c r="D41" s="47"/>
      <c r="E41" s="152">
        <f>C41*MIN($G$4,4)/4</f>
        <v>3043.5</v>
      </c>
      <c r="F41" s="47"/>
      <c r="G41" s="50">
        <v>3053</v>
      </c>
      <c r="H41" s="47"/>
      <c r="I41" s="152">
        <f t="shared" si="5"/>
        <v>9.5</v>
      </c>
      <c r="J41" s="47"/>
      <c r="K41" s="189">
        <f t="shared" si="6"/>
        <v>3.1214062756694597E-3</v>
      </c>
      <c r="L41" s="61"/>
      <c r="M41" s="44"/>
    </row>
    <row r="42" spans="1:13" x14ac:dyDescent="0.2">
      <c r="A42" s="43"/>
      <c r="B42" s="46" t="s">
        <v>672</v>
      </c>
      <c r="C42" s="51">
        <f>SUM(C40:C41)</f>
        <v>14384</v>
      </c>
      <c r="D42" s="47"/>
      <c r="E42" s="51">
        <f>SUM(E40:E41)</f>
        <v>3596</v>
      </c>
      <c r="F42" s="47"/>
      <c r="G42" s="51">
        <f>SUM(G40:G41)</f>
        <v>3584</v>
      </c>
      <c r="H42" s="47"/>
      <c r="I42" s="51">
        <f t="shared" si="5"/>
        <v>-12</v>
      </c>
      <c r="J42" s="47"/>
      <c r="K42" s="245">
        <f t="shared" si="6"/>
        <v>-3.3370411568409346E-3</v>
      </c>
      <c r="L42" s="61"/>
      <c r="M42" s="44"/>
    </row>
    <row r="43" spans="1:13" ht="4.5" customHeight="1" x14ac:dyDescent="0.2">
      <c r="A43" s="43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61"/>
      <c r="M43" s="44"/>
    </row>
    <row r="44" spans="1:13" ht="38.25" x14ac:dyDescent="0.2">
      <c r="A44" s="43"/>
      <c r="B44" s="246" t="s">
        <v>673</v>
      </c>
      <c r="C44" s="51">
        <f>C35+C39+C42</f>
        <v>142101</v>
      </c>
      <c r="D44" s="47"/>
      <c r="E44" s="51">
        <f>C44*MIN($G$4,4)/4</f>
        <v>35525.25</v>
      </c>
      <c r="F44" s="47"/>
      <c r="G44" s="51">
        <f>G35+G39+G42</f>
        <v>35409</v>
      </c>
      <c r="H44" s="47"/>
      <c r="I44" s="51">
        <f>G44-E44</f>
        <v>-116.25</v>
      </c>
      <c r="J44" s="47"/>
      <c r="K44" s="245">
        <f>IF(E44=0,0,I44/E44)</f>
        <v>-3.2723203918339772E-3</v>
      </c>
      <c r="L44" s="61"/>
      <c r="M44" s="44"/>
    </row>
    <row r="45" spans="1:13" x14ac:dyDescent="0.2">
      <c r="A45" s="43"/>
      <c r="B45" s="46" t="s">
        <v>674</v>
      </c>
      <c r="C45" s="64">
        <v>4600</v>
      </c>
      <c r="D45" s="47"/>
      <c r="E45" s="241">
        <f>C45*MIN($G$4,4)/4</f>
        <v>1150</v>
      </c>
      <c r="F45" s="47"/>
      <c r="G45" s="64">
        <v>1085</v>
      </c>
      <c r="H45" s="47"/>
      <c r="I45" s="241">
        <f>G45-E45</f>
        <v>-65</v>
      </c>
      <c r="J45" s="47"/>
      <c r="K45" s="242">
        <f>IF(E45=0,0,I45/E45)</f>
        <v>-5.6521739130434782E-2</v>
      </c>
      <c r="L45" s="61"/>
      <c r="M45" s="44"/>
    </row>
    <row r="46" spans="1:13" x14ac:dyDescent="0.2">
      <c r="A46" s="43"/>
      <c r="B46" s="46" t="s">
        <v>675</v>
      </c>
      <c r="C46" s="50">
        <v>4900</v>
      </c>
      <c r="D46" s="47"/>
      <c r="E46" s="152">
        <f>C46*MIN($G$4,4)/4</f>
        <v>1225</v>
      </c>
      <c r="F46" s="47"/>
      <c r="G46" s="50">
        <v>1140</v>
      </c>
      <c r="H46" s="47"/>
      <c r="I46" s="152">
        <f>G46-E46</f>
        <v>-85</v>
      </c>
      <c r="J46" s="47"/>
      <c r="K46" s="189">
        <f>IF(E46=0,0,I46/E46)</f>
        <v>-6.9387755102040816E-2</v>
      </c>
      <c r="L46" s="61"/>
      <c r="M46" s="44"/>
    </row>
    <row r="47" spans="1:13" x14ac:dyDescent="0.2">
      <c r="A47" s="43"/>
      <c r="B47" s="46" t="s">
        <v>676</v>
      </c>
      <c r="C47" s="51">
        <f>SUM(C45:C46)</f>
        <v>9500</v>
      </c>
      <c r="D47" s="47"/>
      <c r="E47" s="51">
        <f>SUM(E45:E46)</f>
        <v>2375</v>
      </c>
      <c r="F47" s="47"/>
      <c r="G47" s="51">
        <f>SUM(G45:G46)</f>
        <v>2225</v>
      </c>
      <c r="H47" s="47"/>
      <c r="I47" s="51">
        <f>G47-E47</f>
        <v>-150</v>
      </c>
      <c r="J47" s="47"/>
      <c r="K47" s="245">
        <f>IF(E47=0,0,I47/E47)</f>
        <v>-6.3157894736842107E-2</v>
      </c>
      <c r="L47" s="61"/>
      <c r="M47" s="44"/>
    </row>
    <row r="48" spans="1:13" ht="4.5" customHeight="1" x14ac:dyDescent="0.2">
      <c r="A48" s="43"/>
      <c r="B48" s="46"/>
      <c r="C48" s="247"/>
      <c r="D48" s="238"/>
      <c r="E48" s="247"/>
      <c r="F48" s="238"/>
      <c r="G48" s="247"/>
      <c r="H48" s="238"/>
      <c r="I48" s="247"/>
      <c r="J48" s="238"/>
      <c r="K48" s="248"/>
      <c r="L48" s="61"/>
      <c r="M48" s="44"/>
    </row>
    <row r="49" spans="1:13" ht="12.75" customHeight="1" x14ac:dyDescent="0.2">
      <c r="A49" s="43"/>
      <c r="B49" s="46" t="s">
        <v>677</v>
      </c>
      <c r="C49" s="64">
        <v>322</v>
      </c>
      <c r="D49" s="47"/>
      <c r="E49" s="241">
        <f>C49*MIN($G$4,4)/4</f>
        <v>80.5</v>
      </c>
      <c r="F49" s="47"/>
      <c r="G49" s="64">
        <v>91</v>
      </c>
      <c r="H49" s="47"/>
      <c r="I49" s="241">
        <f>G49-E49</f>
        <v>10.5</v>
      </c>
      <c r="J49" s="47"/>
      <c r="K49" s="242">
        <f>IF(E49=0,0,I49/E49)</f>
        <v>0.13043478260869565</v>
      </c>
      <c r="L49" s="61"/>
      <c r="M49" s="44"/>
    </row>
    <row r="50" spans="1:13" ht="12.75" customHeight="1" x14ac:dyDescent="0.2">
      <c r="A50" s="43"/>
      <c r="B50" s="249" t="s">
        <v>678</v>
      </c>
      <c r="C50" s="50">
        <v>206</v>
      </c>
      <c r="D50" s="47"/>
      <c r="E50" s="152">
        <f>C50*MIN($G$4,4)/4</f>
        <v>51.5</v>
      </c>
      <c r="F50" s="47"/>
      <c r="G50" s="50">
        <v>27</v>
      </c>
      <c r="H50" s="47"/>
      <c r="I50" s="152">
        <f>G50-E50</f>
        <v>-24.5</v>
      </c>
      <c r="J50" s="47"/>
      <c r="K50" s="189">
        <f>IF(E50=0,0,I50/E50)</f>
        <v>-0.47572815533980584</v>
      </c>
      <c r="L50" s="61"/>
      <c r="M50" s="44"/>
    </row>
    <row r="51" spans="1:13" ht="24" customHeight="1" x14ac:dyDescent="0.2">
      <c r="A51" s="43"/>
      <c r="B51" s="249" t="s">
        <v>679</v>
      </c>
      <c r="C51" s="235">
        <f>C44+C47+C49+C50</f>
        <v>152129</v>
      </c>
      <c r="D51" s="47"/>
      <c r="E51" s="250">
        <f>C51*MIN($G$4,4)/4</f>
        <v>38032.25</v>
      </c>
      <c r="F51" s="47"/>
      <c r="G51" s="235">
        <f>G44+G47+G49+G50</f>
        <v>37752</v>
      </c>
      <c r="H51" s="47"/>
      <c r="I51" s="250">
        <f>G51-E51</f>
        <v>-280.25</v>
      </c>
      <c r="J51" s="47"/>
      <c r="K51" s="251">
        <f>IF(E51=0,0,I51/E51)</f>
        <v>-7.3687462613965778E-3</v>
      </c>
      <c r="L51" s="61"/>
      <c r="M51" s="44"/>
    </row>
    <row r="52" spans="1:13" ht="4.5" customHeight="1" x14ac:dyDescent="0.2">
      <c r="A52" s="43"/>
      <c r="B52" s="249"/>
      <c r="C52" s="237"/>
      <c r="D52" s="238"/>
      <c r="E52" s="239"/>
      <c r="F52" s="238"/>
      <c r="G52" s="237"/>
      <c r="H52" s="238"/>
      <c r="I52" s="239"/>
      <c r="J52" s="238"/>
      <c r="K52" s="252"/>
      <c r="L52" s="61"/>
      <c r="M52" s="44"/>
    </row>
    <row r="53" spans="1:13" ht="12.75" customHeight="1" x14ac:dyDescent="0.2">
      <c r="A53" s="43"/>
      <c r="B53" s="249" t="s">
        <v>691</v>
      </c>
      <c r="C53" s="64"/>
      <c r="D53" s="47"/>
      <c r="E53" s="241">
        <f>C53*MIN($G$4,4)/4</f>
        <v>0</v>
      </c>
      <c r="F53" s="47"/>
      <c r="G53" s="64"/>
      <c r="H53" s="47"/>
      <c r="I53" s="241">
        <f>G53-E53</f>
        <v>0</v>
      </c>
      <c r="J53" s="47"/>
      <c r="K53" s="242">
        <f>IF(E53=0,0,I53/E53)</f>
        <v>0</v>
      </c>
      <c r="L53" s="61"/>
      <c r="M53" s="44"/>
    </row>
    <row r="54" spans="1:13" ht="12.75" customHeight="1" x14ac:dyDescent="0.2">
      <c r="A54" s="43"/>
      <c r="B54" s="249" t="s">
        <v>681</v>
      </c>
      <c r="C54" s="50">
        <v>4300</v>
      </c>
      <c r="D54" s="47"/>
      <c r="E54" s="152">
        <f>C54*MIN($G$4,4)/4</f>
        <v>1075</v>
      </c>
      <c r="F54" s="47"/>
      <c r="G54" s="50">
        <v>1195</v>
      </c>
      <c r="H54" s="47"/>
      <c r="I54" s="152">
        <f>G54-E54</f>
        <v>120</v>
      </c>
      <c r="J54" s="47"/>
      <c r="K54" s="189">
        <f>IF(E54=0,0,I54/E54)</f>
        <v>0.11162790697674418</v>
      </c>
      <c r="L54" s="61"/>
      <c r="M54" s="44"/>
    </row>
    <row r="55" spans="1:13" ht="13.5" thickBot="1" x14ac:dyDescent="0.25">
      <c r="A55" s="43"/>
      <c r="B55" s="46" t="s">
        <v>682</v>
      </c>
      <c r="C55" s="51">
        <f>C51+C53+C54</f>
        <v>156429</v>
      </c>
      <c r="D55" s="47"/>
      <c r="E55" s="51">
        <f>E51+E53+E54</f>
        <v>39107.25</v>
      </c>
      <c r="F55" s="47"/>
      <c r="G55" s="51">
        <f>G51+G53+G54</f>
        <v>38947</v>
      </c>
      <c r="H55" s="47"/>
      <c r="I55" s="51">
        <f>G55-E55</f>
        <v>-160.25</v>
      </c>
      <c r="J55" s="47"/>
      <c r="K55" s="243">
        <f>IF(E55=0,0,I55/E55)</f>
        <v>-4.0977056683862969E-3</v>
      </c>
      <c r="L55" s="61"/>
      <c r="M55" s="44"/>
    </row>
    <row r="56" spans="1:13" ht="13.5" thickTop="1" x14ac:dyDescent="0.2">
      <c r="A56" s="43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61"/>
      <c r="M56" s="44"/>
    </row>
    <row r="57" spans="1:13" ht="13.5" thickBot="1" x14ac:dyDescent="0.25">
      <c r="A57" s="43"/>
      <c r="B57" s="46" t="s">
        <v>683</v>
      </c>
      <c r="C57" s="52">
        <f>C30-C55</f>
        <v>0</v>
      </c>
      <c r="D57" s="47"/>
      <c r="E57" s="52">
        <f>E30-E55</f>
        <v>0</v>
      </c>
      <c r="F57" s="47"/>
      <c r="G57" s="52">
        <f>G30-G55</f>
        <v>85.800400000000081</v>
      </c>
      <c r="H57" s="47"/>
      <c r="I57" s="52">
        <f>I30-I55</f>
        <v>85.800400000000081</v>
      </c>
      <c r="J57" s="47"/>
      <c r="K57" s="243">
        <f>IF(E57=0,0,I57/E57)</f>
        <v>0</v>
      </c>
      <c r="L57" s="61"/>
      <c r="M57" s="44"/>
    </row>
    <row r="58" spans="1:13" ht="13.5" thickTop="1" x14ac:dyDescent="0.2">
      <c r="A58" s="43"/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253"/>
      <c r="M58" s="44"/>
    </row>
    <row r="59" spans="1:13" ht="13.5" thickBot="1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7"/>
    </row>
    <row r="60" spans="1:13" ht="13.5" thickTop="1" x14ac:dyDescent="0.2"/>
    <row r="155" spans="2:11" ht="33.75" customHeight="1" x14ac:dyDescent="0.2">
      <c r="B155" s="254"/>
      <c r="C155" s="254"/>
      <c r="D155" s="255"/>
      <c r="E155" s="254"/>
      <c r="F155" s="255"/>
      <c r="G155" s="254"/>
      <c r="H155" s="255"/>
      <c r="I155" s="254"/>
      <c r="J155" s="255"/>
      <c r="K155" s="254"/>
    </row>
    <row r="156" spans="2:11" x14ac:dyDescent="0.2">
      <c r="B156" s="256"/>
      <c r="C156" s="256"/>
      <c r="D156" s="256"/>
      <c r="E156" s="256"/>
      <c r="F156" s="256"/>
      <c r="G156" s="256"/>
      <c r="H156" s="256"/>
      <c r="I156" s="256"/>
      <c r="J156" s="256"/>
      <c r="K156" s="256"/>
    </row>
    <row r="157" spans="2:11" x14ac:dyDescent="0.2">
      <c r="B157" s="257"/>
      <c r="C157" s="256"/>
      <c r="D157" s="256"/>
      <c r="E157" s="256"/>
      <c r="F157" s="256"/>
      <c r="G157" s="256"/>
      <c r="H157" s="256"/>
      <c r="I157" s="256"/>
      <c r="J157" s="256"/>
      <c r="K157" s="256"/>
    </row>
    <row r="158" spans="2:11" x14ac:dyDescent="0.2">
      <c r="B158" s="256"/>
      <c r="C158" s="256"/>
      <c r="D158" s="256"/>
      <c r="E158" s="256"/>
      <c r="F158" s="256"/>
      <c r="G158" s="256"/>
      <c r="H158" s="256"/>
      <c r="I158" s="256"/>
      <c r="J158" s="256"/>
      <c r="K158" s="256"/>
    </row>
    <row r="159" spans="2:11" x14ac:dyDescent="0.2">
      <c r="B159" s="256"/>
      <c r="C159" s="256"/>
      <c r="D159" s="256"/>
      <c r="E159" s="256"/>
      <c r="F159" s="256"/>
      <c r="G159" s="256"/>
      <c r="H159" s="256"/>
      <c r="I159" s="256"/>
      <c r="J159" s="256"/>
      <c r="K159" s="256"/>
    </row>
    <row r="160" spans="2:11" x14ac:dyDescent="0.2">
      <c r="B160" s="256"/>
      <c r="C160" s="256"/>
      <c r="D160" s="256"/>
      <c r="E160" s="256"/>
      <c r="F160" s="256"/>
      <c r="G160" s="256"/>
      <c r="H160" s="256"/>
      <c r="I160" s="256"/>
      <c r="J160" s="256"/>
      <c r="K160" s="256"/>
    </row>
    <row r="161" spans="2:11" x14ac:dyDescent="0.2">
      <c r="B161" s="256"/>
      <c r="C161" s="256"/>
      <c r="D161" s="256"/>
      <c r="E161" s="256"/>
      <c r="F161" s="256"/>
      <c r="G161" s="256"/>
      <c r="H161" s="256"/>
      <c r="I161" s="256"/>
      <c r="J161" s="256"/>
      <c r="K161" s="256"/>
    </row>
    <row r="162" spans="2:11" x14ac:dyDescent="0.2">
      <c r="B162" s="256"/>
      <c r="C162" s="256"/>
      <c r="D162" s="256"/>
      <c r="E162" s="256"/>
      <c r="F162" s="256"/>
      <c r="G162" s="256"/>
      <c r="H162" s="256"/>
      <c r="I162" s="256"/>
      <c r="J162" s="256"/>
      <c r="K162" s="256"/>
    </row>
    <row r="163" spans="2:11" x14ac:dyDescent="0.2">
      <c r="B163" s="256"/>
      <c r="C163" s="256"/>
      <c r="D163" s="256"/>
      <c r="E163" s="256"/>
      <c r="F163" s="256"/>
      <c r="G163" s="256"/>
      <c r="H163" s="256"/>
      <c r="I163" s="256"/>
      <c r="J163" s="256"/>
      <c r="K163" s="256"/>
    </row>
    <row r="164" spans="2:11" x14ac:dyDescent="0.2">
      <c r="B164" s="256"/>
      <c r="C164" s="256"/>
      <c r="D164" s="256"/>
      <c r="E164" s="256"/>
      <c r="F164" s="256"/>
      <c r="G164" s="256"/>
      <c r="H164" s="256"/>
      <c r="I164" s="256"/>
      <c r="J164" s="256"/>
      <c r="K164" s="256"/>
    </row>
    <row r="165" spans="2:11" x14ac:dyDescent="0.2">
      <c r="B165" s="256"/>
      <c r="C165" s="256"/>
      <c r="D165" s="256"/>
      <c r="E165" s="256"/>
      <c r="F165" s="256"/>
      <c r="G165" s="256"/>
      <c r="H165" s="256"/>
      <c r="I165" s="256"/>
      <c r="J165" s="256"/>
      <c r="K165" s="256"/>
    </row>
    <row r="166" spans="2:11" x14ac:dyDescent="0.2">
      <c r="B166" s="256"/>
      <c r="C166" s="256"/>
      <c r="D166" s="256"/>
      <c r="E166" s="256"/>
      <c r="F166" s="256"/>
      <c r="G166" s="256"/>
      <c r="H166" s="256"/>
      <c r="I166" s="256"/>
      <c r="J166" s="256"/>
      <c r="K166" s="256"/>
    </row>
    <row r="167" spans="2:11" x14ac:dyDescent="0.2">
      <c r="B167" s="256"/>
      <c r="C167" s="256"/>
      <c r="D167" s="256"/>
      <c r="E167" s="256"/>
      <c r="F167" s="256"/>
      <c r="G167" s="256"/>
      <c r="H167" s="256"/>
      <c r="I167" s="256"/>
      <c r="J167" s="256"/>
      <c r="K167" s="256"/>
    </row>
    <row r="168" spans="2:11" x14ac:dyDescent="0.2">
      <c r="B168" s="256"/>
      <c r="C168" s="256"/>
      <c r="D168" s="256"/>
      <c r="E168" s="256"/>
      <c r="F168" s="256"/>
      <c r="G168" s="256"/>
      <c r="H168" s="256"/>
      <c r="I168" s="256"/>
      <c r="J168" s="256"/>
      <c r="K168" s="256"/>
    </row>
    <row r="169" spans="2:11" x14ac:dyDescent="0.2">
      <c r="B169" s="256"/>
      <c r="C169" s="256"/>
      <c r="D169" s="256"/>
      <c r="E169" s="256"/>
      <c r="F169" s="256"/>
      <c r="G169" s="256"/>
      <c r="H169" s="256"/>
      <c r="I169" s="256"/>
      <c r="J169" s="256"/>
      <c r="K169" s="256"/>
    </row>
    <row r="170" spans="2:11" x14ac:dyDescent="0.2">
      <c r="B170" s="256"/>
      <c r="C170" s="256"/>
      <c r="D170" s="256"/>
      <c r="E170" s="256"/>
      <c r="F170" s="256"/>
      <c r="G170" s="256"/>
      <c r="H170" s="256"/>
      <c r="I170" s="256"/>
      <c r="J170" s="256"/>
      <c r="K170" s="256"/>
    </row>
    <row r="171" spans="2:11" x14ac:dyDescent="0.2">
      <c r="B171" s="256"/>
      <c r="C171" s="256"/>
      <c r="D171" s="256"/>
      <c r="E171" s="256"/>
      <c r="F171" s="256"/>
      <c r="G171" s="256"/>
      <c r="H171" s="256"/>
      <c r="I171" s="256"/>
      <c r="J171" s="256"/>
      <c r="K171" s="256"/>
    </row>
    <row r="172" spans="2:11" x14ac:dyDescent="0.2">
      <c r="B172" s="256"/>
      <c r="C172" s="256"/>
      <c r="D172" s="256"/>
      <c r="E172" s="256"/>
      <c r="F172" s="256"/>
      <c r="G172" s="256"/>
      <c r="H172" s="256"/>
      <c r="I172" s="256"/>
      <c r="J172" s="256"/>
      <c r="K172" s="256"/>
    </row>
    <row r="173" spans="2:11" x14ac:dyDescent="0.2">
      <c r="B173" s="256"/>
      <c r="C173" s="256"/>
      <c r="D173" s="256"/>
      <c r="E173" s="256"/>
      <c r="F173" s="256"/>
      <c r="G173" s="256"/>
      <c r="H173" s="256"/>
      <c r="I173" s="256"/>
      <c r="J173" s="256"/>
      <c r="K173" s="256"/>
    </row>
    <row r="174" spans="2:11" x14ac:dyDescent="0.2">
      <c r="B174" s="257"/>
      <c r="C174" s="256"/>
      <c r="D174" s="256"/>
      <c r="E174" s="256"/>
      <c r="F174" s="256"/>
      <c r="G174" s="256"/>
      <c r="H174" s="256"/>
      <c r="I174" s="256"/>
      <c r="J174" s="256"/>
      <c r="K174" s="256"/>
    </row>
    <row r="175" spans="2:11" x14ac:dyDescent="0.2">
      <c r="B175" s="256"/>
      <c r="C175" s="256"/>
      <c r="D175" s="256"/>
      <c r="E175" s="256"/>
      <c r="F175" s="256"/>
      <c r="G175" s="256"/>
      <c r="H175" s="256"/>
      <c r="I175" s="256"/>
      <c r="J175" s="256"/>
      <c r="K175" s="256"/>
    </row>
    <row r="176" spans="2:11" x14ac:dyDescent="0.2">
      <c r="B176" s="256"/>
      <c r="C176" s="256"/>
      <c r="D176" s="256"/>
      <c r="E176" s="256"/>
      <c r="F176" s="256"/>
      <c r="G176" s="256"/>
      <c r="H176" s="256"/>
      <c r="I176" s="256"/>
      <c r="J176" s="256"/>
      <c r="K176" s="256"/>
    </row>
    <row r="177" spans="2:11" x14ac:dyDescent="0.2">
      <c r="B177" s="256"/>
      <c r="C177" s="256"/>
      <c r="D177" s="256"/>
      <c r="E177" s="256"/>
      <c r="F177" s="256"/>
      <c r="G177" s="256"/>
      <c r="H177" s="256"/>
      <c r="I177" s="256"/>
      <c r="J177" s="256"/>
      <c r="K177" s="256"/>
    </row>
    <row r="178" spans="2:11" x14ac:dyDescent="0.2">
      <c r="B178" s="256"/>
      <c r="C178" s="256"/>
      <c r="D178" s="256"/>
      <c r="E178" s="256"/>
      <c r="F178" s="256"/>
      <c r="G178" s="256"/>
      <c r="H178" s="256"/>
      <c r="I178" s="256"/>
      <c r="J178" s="256"/>
      <c r="K178" s="256"/>
    </row>
    <row r="179" spans="2:11" x14ac:dyDescent="0.2">
      <c r="B179" s="256"/>
      <c r="C179" s="256"/>
      <c r="D179" s="256"/>
      <c r="E179" s="256"/>
      <c r="F179" s="256"/>
      <c r="G179" s="256"/>
      <c r="H179" s="256"/>
      <c r="I179" s="256"/>
      <c r="J179" s="256"/>
      <c r="K179" s="256"/>
    </row>
    <row r="180" spans="2:11" x14ac:dyDescent="0.2">
      <c r="B180" s="256"/>
      <c r="C180" s="256"/>
      <c r="D180" s="256"/>
      <c r="E180" s="256"/>
      <c r="F180" s="256"/>
      <c r="G180" s="256"/>
      <c r="H180" s="256"/>
      <c r="I180" s="256"/>
      <c r="J180" s="256"/>
      <c r="K180" s="256"/>
    </row>
    <row r="181" spans="2:11" x14ac:dyDescent="0.2">
      <c r="B181" s="256"/>
      <c r="C181" s="256"/>
      <c r="D181" s="256"/>
      <c r="E181" s="256"/>
      <c r="F181" s="256"/>
      <c r="G181" s="256"/>
      <c r="H181" s="256"/>
      <c r="I181" s="256"/>
      <c r="J181" s="256"/>
      <c r="K181" s="256"/>
    </row>
    <row r="182" spans="2:11" x14ac:dyDescent="0.2">
      <c r="B182" s="256"/>
      <c r="C182" s="256"/>
      <c r="D182" s="256"/>
      <c r="E182" s="256"/>
      <c r="F182" s="256"/>
      <c r="G182" s="256"/>
      <c r="H182" s="256"/>
      <c r="I182" s="256"/>
      <c r="J182" s="256"/>
      <c r="K182" s="256"/>
    </row>
    <row r="183" spans="2:11" x14ac:dyDescent="0.2">
      <c r="B183" s="256"/>
      <c r="C183" s="256"/>
      <c r="D183" s="256"/>
      <c r="E183" s="256"/>
      <c r="F183" s="256"/>
      <c r="G183" s="256"/>
      <c r="H183" s="256"/>
      <c r="I183" s="256"/>
      <c r="J183" s="256"/>
      <c r="K183" s="256"/>
    </row>
    <row r="184" spans="2:11" x14ac:dyDescent="0.2">
      <c r="B184" s="256"/>
      <c r="C184" s="256"/>
      <c r="D184" s="256"/>
      <c r="E184" s="256"/>
      <c r="F184" s="256"/>
      <c r="G184" s="256"/>
      <c r="H184" s="256"/>
      <c r="I184" s="256"/>
      <c r="J184" s="256"/>
      <c r="K184" s="256"/>
    </row>
    <row r="185" spans="2:11" x14ac:dyDescent="0.2">
      <c r="B185" s="256"/>
      <c r="C185" s="256"/>
      <c r="D185" s="256"/>
      <c r="E185" s="256"/>
      <c r="F185" s="256"/>
      <c r="G185" s="256"/>
      <c r="H185" s="256"/>
      <c r="I185" s="256"/>
      <c r="J185" s="256"/>
      <c r="K185" s="256"/>
    </row>
    <row r="186" spans="2:11" x14ac:dyDescent="0.2">
      <c r="B186" s="256"/>
      <c r="C186" s="256"/>
      <c r="D186" s="256"/>
      <c r="E186" s="256"/>
      <c r="F186" s="256"/>
      <c r="G186" s="256"/>
      <c r="H186" s="256"/>
      <c r="I186" s="256"/>
      <c r="J186" s="256"/>
      <c r="K186" s="256"/>
    </row>
    <row r="187" spans="2:11" x14ac:dyDescent="0.2">
      <c r="B187" s="256"/>
      <c r="C187" s="256"/>
      <c r="D187" s="256"/>
      <c r="E187" s="256"/>
      <c r="F187" s="256"/>
      <c r="G187" s="256"/>
      <c r="H187" s="256"/>
      <c r="I187" s="256"/>
      <c r="J187" s="256"/>
      <c r="K187" s="256"/>
    </row>
    <row r="188" spans="2:11" x14ac:dyDescent="0.2">
      <c r="B188" s="256"/>
      <c r="C188" s="256"/>
      <c r="D188" s="256"/>
      <c r="E188" s="256"/>
      <c r="F188" s="256"/>
      <c r="G188" s="256"/>
      <c r="H188" s="256"/>
      <c r="I188" s="256"/>
      <c r="J188" s="256"/>
      <c r="K188" s="256"/>
    </row>
    <row r="189" spans="2:11" x14ac:dyDescent="0.2">
      <c r="B189" s="256"/>
      <c r="C189" s="256"/>
      <c r="D189" s="256"/>
      <c r="E189" s="256"/>
      <c r="F189" s="256"/>
      <c r="G189" s="256"/>
      <c r="H189" s="256"/>
      <c r="I189" s="256"/>
      <c r="J189" s="256"/>
      <c r="K189" s="256"/>
    </row>
    <row r="190" spans="2:11" x14ac:dyDescent="0.2">
      <c r="B190" s="256"/>
      <c r="C190" s="256"/>
      <c r="D190" s="256"/>
      <c r="E190" s="256"/>
      <c r="F190" s="256"/>
      <c r="G190" s="256"/>
      <c r="H190" s="256"/>
      <c r="I190" s="256"/>
      <c r="J190" s="256"/>
      <c r="K190" s="256"/>
    </row>
    <row r="191" spans="2:11" x14ac:dyDescent="0.2">
      <c r="B191" s="256"/>
      <c r="C191" s="256"/>
      <c r="D191" s="256"/>
      <c r="E191" s="256"/>
      <c r="F191" s="256"/>
      <c r="G191" s="256"/>
      <c r="H191" s="256"/>
      <c r="I191" s="256"/>
      <c r="J191" s="256"/>
      <c r="K191" s="256"/>
    </row>
    <row r="192" spans="2:11" x14ac:dyDescent="0.2">
      <c r="B192" s="256"/>
      <c r="C192" s="256"/>
      <c r="D192" s="256"/>
      <c r="E192" s="256"/>
      <c r="F192" s="256"/>
      <c r="G192" s="256"/>
      <c r="H192" s="256"/>
      <c r="I192" s="256"/>
      <c r="J192" s="256"/>
      <c r="K192" s="256"/>
    </row>
    <row r="193" spans="2:13" x14ac:dyDescent="0.2">
      <c r="B193" s="256"/>
      <c r="C193" s="256"/>
      <c r="D193" s="256"/>
      <c r="E193" s="256"/>
      <c r="F193" s="256"/>
      <c r="G193" s="256"/>
      <c r="H193" s="256"/>
      <c r="I193" s="256"/>
      <c r="J193" s="256"/>
      <c r="K193" s="256"/>
    </row>
    <row r="194" spans="2:13" x14ac:dyDescent="0.2">
      <c r="B194" s="257"/>
      <c r="C194" s="256"/>
      <c r="D194" s="256"/>
      <c r="E194" s="256"/>
      <c r="F194" s="256"/>
      <c r="G194" s="256"/>
      <c r="H194" s="256"/>
      <c r="I194" s="256"/>
      <c r="J194" s="256"/>
      <c r="K194" s="256"/>
    </row>
    <row r="195" spans="2:13" x14ac:dyDescent="0.2">
      <c r="B195" s="42">
        <f t="shared" ref="B195:M195" si="7">B58</f>
        <v>0</v>
      </c>
      <c r="C195" s="256">
        <f t="shared" si="7"/>
        <v>0</v>
      </c>
      <c r="D195" s="256">
        <f t="shared" si="7"/>
        <v>0</v>
      </c>
      <c r="E195" s="256">
        <f t="shared" si="7"/>
        <v>0</v>
      </c>
      <c r="F195" s="256">
        <f t="shared" si="7"/>
        <v>0</v>
      </c>
      <c r="G195" s="256">
        <f t="shared" si="7"/>
        <v>0</v>
      </c>
      <c r="H195" s="256">
        <f t="shared" si="7"/>
        <v>0</v>
      </c>
      <c r="I195" s="256">
        <f t="shared" si="7"/>
        <v>0</v>
      </c>
      <c r="J195" s="256">
        <f t="shared" si="7"/>
        <v>0</v>
      </c>
      <c r="K195" s="256">
        <f t="shared" si="7"/>
        <v>0</v>
      </c>
      <c r="L195" s="42">
        <f t="shared" si="7"/>
        <v>0</v>
      </c>
      <c r="M195" s="42">
        <f t="shared" si="7"/>
        <v>0</v>
      </c>
    </row>
    <row r="314" spans="2:12" ht="18" x14ac:dyDescent="0.2">
      <c r="B314" s="633" t="str">
        <f>C1</f>
        <v>מ"א עמק הירדן</v>
      </c>
      <c r="C314" s="633"/>
      <c r="D314" s="633"/>
      <c r="E314" s="633"/>
      <c r="F314" s="633"/>
      <c r="G314" s="633"/>
      <c r="H314" s="633"/>
      <c r="I314" s="633"/>
      <c r="J314" s="633"/>
      <c r="K314" s="633"/>
      <c r="L314" s="633"/>
    </row>
    <row r="315" spans="2:12" ht="18" x14ac:dyDescent="0.2">
      <c r="B315" s="633" t="str">
        <f>C2</f>
        <v>תמצית נתוני התקציב הרגיל באלפי ₪</v>
      </c>
      <c r="C315" s="633"/>
      <c r="D315" s="633"/>
      <c r="E315" s="633"/>
      <c r="F315" s="633"/>
      <c r="G315" s="633"/>
      <c r="H315" s="633"/>
      <c r="I315" s="633"/>
      <c r="J315" s="633"/>
      <c r="K315" s="633"/>
      <c r="L315" s="633"/>
    </row>
    <row r="316" spans="2:12" ht="18" x14ac:dyDescent="0.2">
      <c r="B316" s="633" t="str">
        <f>C3</f>
        <v>לתקופה: רבעון 1, שנת 2017</v>
      </c>
      <c r="C316" s="633"/>
      <c r="D316" s="633"/>
      <c r="E316" s="633"/>
      <c r="F316" s="633"/>
      <c r="G316" s="633"/>
      <c r="H316" s="633"/>
      <c r="I316" s="633"/>
      <c r="J316" s="633"/>
      <c r="K316" s="633"/>
      <c r="L316" s="633"/>
    </row>
    <row r="317" spans="2:12" x14ac:dyDescent="0.2">
      <c r="B317" s="258">
        <f t="shared" ref="B317:L332" si="8">B5</f>
        <v>0</v>
      </c>
      <c r="C317" s="259">
        <f t="shared" si="8"/>
        <v>0</v>
      </c>
      <c r="D317" s="259">
        <f t="shared" si="8"/>
        <v>0</v>
      </c>
      <c r="E317" s="259">
        <f t="shared" si="8"/>
        <v>0</v>
      </c>
      <c r="F317" s="259">
        <f t="shared" si="8"/>
        <v>0</v>
      </c>
      <c r="G317" s="259">
        <f t="shared" si="8"/>
        <v>0</v>
      </c>
      <c r="H317" s="259">
        <f t="shared" si="8"/>
        <v>0</v>
      </c>
      <c r="I317" s="259">
        <f t="shared" si="8"/>
        <v>0</v>
      </c>
      <c r="J317" s="259">
        <f t="shared" si="8"/>
        <v>0</v>
      </c>
      <c r="K317" s="259">
        <f t="shared" si="8"/>
        <v>0</v>
      </c>
      <c r="L317" s="259">
        <f t="shared" si="8"/>
        <v>0</v>
      </c>
    </row>
    <row r="318" spans="2:12" x14ac:dyDescent="0.2">
      <c r="B318" s="259">
        <f t="shared" si="8"/>
        <v>0</v>
      </c>
      <c r="C318" s="259">
        <f t="shared" si="8"/>
        <v>0</v>
      </c>
      <c r="D318" s="259">
        <f t="shared" si="8"/>
        <v>0</v>
      </c>
      <c r="E318" s="259">
        <f t="shared" si="8"/>
        <v>0</v>
      </c>
      <c r="F318" s="259">
        <f t="shared" si="8"/>
        <v>0</v>
      </c>
      <c r="G318" s="259">
        <f t="shared" si="8"/>
        <v>0</v>
      </c>
      <c r="H318" s="259">
        <f t="shared" si="8"/>
        <v>0</v>
      </c>
      <c r="I318" s="259">
        <f t="shared" si="8"/>
        <v>0</v>
      </c>
      <c r="J318" s="259">
        <f t="shared" si="8"/>
        <v>0</v>
      </c>
      <c r="K318" s="259">
        <f t="shared" si="8"/>
        <v>0</v>
      </c>
      <c r="L318" s="259">
        <f t="shared" si="8"/>
        <v>0</v>
      </c>
    </row>
    <row r="319" spans="2:12" ht="25.5" x14ac:dyDescent="0.2">
      <c r="B319" s="82">
        <f t="shared" si="8"/>
        <v>0</v>
      </c>
      <c r="C319" s="82" t="str">
        <f t="shared" si="8"/>
        <v>* תקציב שנתי מאושר</v>
      </c>
      <c r="D319" s="82">
        <f t="shared" si="8"/>
        <v>0</v>
      </c>
      <c r="E319" s="82" t="str">
        <f t="shared" si="8"/>
        <v>תקציב יחסי לתקופה</v>
      </c>
      <c r="F319" s="82">
        <f t="shared" si="8"/>
        <v>0</v>
      </c>
      <c r="G319" s="82" t="str">
        <f t="shared" si="8"/>
        <v>ביצוע מצטבר</v>
      </c>
      <c r="H319" s="82">
        <f t="shared" si="8"/>
        <v>0</v>
      </c>
      <c r="I319" s="82" t="str">
        <f t="shared" si="8"/>
        <v>סטיה מהתקציב</v>
      </c>
      <c r="J319" s="82">
        <f t="shared" si="8"/>
        <v>0</v>
      </c>
      <c r="K319" s="82" t="str">
        <f t="shared" si="8"/>
        <v>סטיה מהתקציב ב%</v>
      </c>
      <c r="L319" s="82">
        <f t="shared" si="8"/>
        <v>0</v>
      </c>
    </row>
    <row r="320" spans="2:12" x14ac:dyDescent="0.2">
      <c r="B320" s="83">
        <f t="shared" si="8"/>
        <v>0</v>
      </c>
      <c r="C320" s="84">
        <f t="shared" si="8"/>
        <v>0</v>
      </c>
      <c r="D320" s="84">
        <f t="shared" si="8"/>
        <v>0</v>
      </c>
      <c r="E320" s="84">
        <f t="shared" si="8"/>
        <v>0</v>
      </c>
      <c r="F320" s="84">
        <f t="shared" si="8"/>
        <v>0</v>
      </c>
      <c r="G320" s="84">
        <f t="shared" si="8"/>
        <v>0</v>
      </c>
      <c r="H320" s="84">
        <f t="shared" si="8"/>
        <v>0</v>
      </c>
      <c r="I320" s="84">
        <f t="shared" si="8"/>
        <v>0</v>
      </c>
      <c r="J320" s="84">
        <f t="shared" si="8"/>
        <v>0</v>
      </c>
      <c r="K320" s="84">
        <f t="shared" si="8"/>
        <v>0</v>
      </c>
      <c r="L320" s="85">
        <f t="shared" si="8"/>
        <v>0</v>
      </c>
    </row>
    <row r="321" spans="2:12" ht="15.75" x14ac:dyDescent="0.2">
      <c r="B321" s="86" t="str">
        <f t="shared" si="8"/>
        <v>הכנסות</v>
      </c>
      <c r="C321" s="84">
        <f t="shared" si="8"/>
        <v>0</v>
      </c>
      <c r="D321" s="84">
        <f t="shared" si="8"/>
        <v>0</v>
      </c>
      <c r="E321" s="84">
        <f t="shared" si="8"/>
        <v>0</v>
      </c>
      <c r="F321" s="84">
        <f t="shared" si="8"/>
        <v>0</v>
      </c>
      <c r="G321" s="84">
        <f t="shared" si="8"/>
        <v>0</v>
      </c>
      <c r="H321" s="84">
        <f t="shared" si="8"/>
        <v>0</v>
      </c>
      <c r="I321" s="84">
        <f t="shared" si="8"/>
        <v>0</v>
      </c>
      <c r="J321" s="84">
        <f t="shared" si="8"/>
        <v>0</v>
      </c>
      <c r="K321" s="84">
        <f t="shared" si="8"/>
        <v>0</v>
      </c>
      <c r="L321" s="85">
        <f t="shared" si="8"/>
        <v>0</v>
      </c>
    </row>
    <row r="322" spans="2:12" x14ac:dyDescent="0.2">
      <c r="B322" s="83">
        <f t="shared" si="8"/>
        <v>0</v>
      </c>
      <c r="C322" s="84">
        <f t="shared" si="8"/>
        <v>0</v>
      </c>
      <c r="D322" s="84">
        <f t="shared" si="8"/>
        <v>0</v>
      </c>
      <c r="E322" s="84">
        <f t="shared" si="8"/>
        <v>0</v>
      </c>
      <c r="F322" s="84">
        <f t="shared" si="8"/>
        <v>0</v>
      </c>
      <c r="G322" s="84">
        <f t="shared" si="8"/>
        <v>0</v>
      </c>
      <c r="H322" s="84">
        <f t="shared" si="8"/>
        <v>0</v>
      </c>
      <c r="I322" s="84">
        <f t="shared" si="8"/>
        <v>0</v>
      </c>
      <c r="J322" s="84">
        <f t="shared" si="8"/>
        <v>0</v>
      </c>
      <c r="K322" s="84">
        <f t="shared" si="8"/>
        <v>0</v>
      </c>
      <c r="L322" s="85">
        <f t="shared" si="8"/>
        <v>0</v>
      </c>
    </row>
    <row r="323" spans="2:12" x14ac:dyDescent="0.2">
      <c r="B323" s="83" t="str">
        <f t="shared" si="8"/>
        <v>ארנונה כללית</v>
      </c>
      <c r="C323" s="87">
        <f t="shared" si="8"/>
        <v>48525</v>
      </c>
      <c r="D323" s="84">
        <f t="shared" si="8"/>
        <v>0</v>
      </c>
      <c r="E323" s="260">
        <f t="shared" si="8"/>
        <v>12131.25</v>
      </c>
      <c r="F323" s="84">
        <f t="shared" si="8"/>
        <v>0</v>
      </c>
      <c r="G323" s="87">
        <f t="shared" si="8"/>
        <v>12630</v>
      </c>
      <c r="H323" s="84">
        <f t="shared" si="8"/>
        <v>0</v>
      </c>
      <c r="I323" s="260">
        <f t="shared" si="8"/>
        <v>498.75</v>
      </c>
      <c r="J323" s="84">
        <f t="shared" si="8"/>
        <v>0</v>
      </c>
      <c r="K323" s="261">
        <f t="shared" si="8"/>
        <v>4.1112828438948992E-2</v>
      </c>
      <c r="L323" s="85">
        <f t="shared" si="8"/>
        <v>0</v>
      </c>
    </row>
    <row r="324" spans="2:12" x14ac:dyDescent="0.2">
      <c r="B324" s="83" t="str">
        <f t="shared" si="8"/>
        <v>הכנסות ממכירת מים</v>
      </c>
      <c r="C324" s="88">
        <f t="shared" si="8"/>
        <v>990</v>
      </c>
      <c r="D324" s="84">
        <f t="shared" si="8"/>
        <v>0</v>
      </c>
      <c r="E324" s="262">
        <f t="shared" si="8"/>
        <v>247.5</v>
      </c>
      <c r="F324" s="84">
        <f t="shared" si="8"/>
        <v>0</v>
      </c>
      <c r="G324" s="88">
        <f t="shared" si="8"/>
        <v>228</v>
      </c>
      <c r="H324" s="84">
        <f t="shared" si="8"/>
        <v>0</v>
      </c>
      <c r="I324" s="262">
        <f t="shared" si="8"/>
        <v>-19.5</v>
      </c>
      <c r="J324" s="84">
        <f t="shared" si="8"/>
        <v>0</v>
      </c>
      <c r="K324" s="263">
        <f t="shared" si="8"/>
        <v>-7.8787878787878782E-2</v>
      </c>
      <c r="L324" s="85">
        <f t="shared" si="8"/>
        <v>0</v>
      </c>
    </row>
    <row r="325" spans="2:12" x14ac:dyDescent="0.2">
      <c r="B325" s="83" t="str">
        <f t="shared" si="8"/>
        <v>עצמיות חינוך</v>
      </c>
      <c r="C325" s="88">
        <f t="shared" si="8"/>
        <v>3668</v>
      </c>
      <c r="D325" s="84">
        <f t="shared" si="8"/>
        <v>0</v>
      </c>
      <c r="E325" s="262">
        <f t="shared" si="8"/>
        <v>917</v>
      </c>
      <c r="F325" s="84">
        <f t="shared" si="8"/>
        <v>0</v>
      </c>
      <c r="G325" s="88">
        <f t="shared" si="8"/>
        <v>1295</v>
      </c>
      <c r="H325" s="84">
        <f t="shared" si="8"/>
        <v>0</v>
      </c>
      <c r="I325" s="262">
        <f t="shared" si="8"/>
        <v>378</v>
      </c>
      <c r="J325" s="84">
        <f t="shared" si="8"/>
        <v>0</v>
      </c>
      <c r="K325" s="263">
        <f t="shared" si="8"/>
        <v>0.41221374045801529</v>
      </c>
      <c r="L325" s="85">
        <f t="shared" si="8"/>
        <v>0</v>
      </c>
    </row>
    <row r="326" spans="2:12" x14ac:dyDescent="0.2">
      <c r="B326" s="83" t="str">
        <f t="shared" si="8"/>
        <v>עצמיות רווחה</v>
      </c>
      <c r="C326" s="88">
        <f t="shared" si="8"/>
        <v>604</v>
      </c>
      <c r="D326" s="84">
        <f t="shared" si="8"/>
        <v>0</v>
      </c>
      <c r="E326" s="262">
        <f t="shared" si="8"/>
        <v>151</v>
      </c>
      <c r="F326" s="84">
        <f t="shared" si="8"/>
        <v>0</v>
      </c>
      <c r="G326" s="88">
        <f t="shared" si="8"/>
        <v>142</v>
      </c>
      <c r="H326" s="84">
        <f t="shared" si="8"/>
        <v>0</v>
      </c>
      <c r="I326" s="262">
        <f t="shared" si="8"/>
        <v>-9</v>
      </c>
      <c r="J326" s="84">
        <f t="shared" si="8"/>
        <v>0</v>
      </c>
      <c r="K326" s="263">
        <f t="shared" si="8"/>
        <v>-5.9602649006622516E-2</v>
      </c>
      <c r="L326" s="85">
        <f t="shared" si="8"/>
        <v>0</v>
      </c>
    </row>
    <row r="327" spans="2:12" x14ac:dyDescent="0.2">
      <c r="B327" s="264" t="str">
        <f t="shared" si="8"/>
        <v>עצמיות אחר</v>
      </c>
      <c r="C327" s="88">
        <f t="shared" si="8"/>
        <v>28426</v>
      </c>
      <c r="D327" s="84">
        <f t="shared" si="8"/>
        <v>0</v>
      </c>
      <c r="E327" s="262">
        <f t="shared" si="8"/>
        <v>7106.5</v>
      </c>
      <c r="F327" s="84">
        <f t="shared" si="8"/>
        <v>0</v>
      </c>
      <c r="G327" s="88">
        <f t="shared" si="8"/>
        <v>6564</v>
      </c>
      <c r="H327" s="84">
        <f t="shared" si="8"/>
        <v>0</v>
      </c>
      <c r="I327" s="262">
        <f t="shared" si="8"/>
        <v>-542.5</v>
      </c>
      <c r="J327" s="84">
        <f t="shared" si="8"/>
        <v>0</v>
      </c>
      <c r="K327" s="263">
        <f t="shared" si="8"/>
        <v>-7.6338563287131497E-2</v>
      </c>
      <c r="L327" s="85">
        <f t="shared" si="8"/>
        <v>0</v>
      </c>
    </row>
    <row r="328" spans="2:12" x14ac:dyDescent="0.2">
      <c r="B328" s="83" t="str">
        <f t="shared" si="8"/>
        <v>סה"כ עצמיות</v>
      </c>
      <c r="C328" s="89">
        <f t="shared" si="8"/>
        <v>82213</v>
      </c>
      <c r="D328" s="84">
        <f t="shared" si="8"/>
        <v>0</v>
      </c>
      <c r="E328" s="89">
        <f t="shared" si="8"/>
        <v>20553.25</v>
      </c>
      <c r="F328" s="84">
        <f t="shared" si="8"/>
        <v>0</v>
      </c>
      <c r="G328" s="89">
        <f t="shared" si="8"/>
        <v>20859</v>
      </c>
      <c r="H328" s="84">
        <f t="shared" si="8"/>
        <v>0</v>
      </c>
      <c r="I328" s="89">
        <f t="shared" si="8"/>
        <v>305.75</v>
      </c>
      <c r="J328" s="84">
        <f t="shared" si="8"/>
        <v>0</v>
      </c>
      <c r="K328" s="467">
        <f t="shared" si="8"/>
        <v>1.4875992847846447E-2</v>
      </c>
      <c r="L328" s="85">
        <f t="shared" si="8"/>
        <v>0</v>
      </c>
    </row>
    <row r="329" spans="2:12" x14ac:dyDescent="0.2">
      <c r="B329" s="83">
        <f t="shared" si="8"/>
        <v>0</v>
      </c>
      <c r="C329" s="84">
        <f t="shared" si="8"/>
        <v>0</v>
      </c>
      <c r="D329" s="84">
        <f t="shared" si="8"/>
        <v>0</v>
      </c>
      <c r="E329" s="84">
        <f t="shared" si="8"/>
        <v>0</v>
      </c>
      <c r="F329" s="84">
        <f t="shared" si="8"/>
        <v>0</v>
      </c>
      <c r="G329" s="84">
        <f t="shared" si="8"/>
        <v>0</v>
      </c>
      <c r="H329" s="84">
        <f t="shared" si="8"/>
        <v>0</v>
      </c>
      <c r="I329" s="84">
        <f t="shared" si="8"/>
        <v>0</v>
      </c>
      <c r="J329" s="84">
        <f t="shared" si="8"/>
        <v>0</v>
      </c>
      <c r="K329" s="84">
        <f t="shared" si="8"/>
        <v>0</v>
      </c>
      <c r="L329" s="85">
        <f t="shared" si="8"/>
        <v>0</v>
      </c>
    </row>
    <row r="330" spans="2:12" x14ac:dyDescent="0.2">
      <c r="B330" s="83" t="str">
        <f t="shared" si="8"/>
        <v>תקבולים ממשרד החינוך</v>
      </c>
      <c r="C330" s="87">
        <f t="shared" si="8"/>
        <v>45356</v>
      </c>
      <c r="D330" s="84">
        <f t="shared" si="8"/>
        <v>0</v>
      </c>
      <c r="E330" s="260">
        <f t="shared" si="8"/>
        <v>11339</v>
      </c>
      <c r="F330" s="84">
        <f t="shared" si="8"/>
        <v>0</v>
      </c>
      <c r="G330" s="87">
        <f t="shared" si="8"/>
        <v>10892.8004</v>
      </c>
      <c r="H330" s="84">
        <f t="shared" si="8"/>
        <v>0</v>
      </c>
      <c r="I330" s="260">
        <f t="shared" si="8"/>
        <v>-446.19959999999992</v>
      </c>
      <c r="J330" s="84">
        <f t="shared" si="8"/>
        <v>0</v>
      </c>
      <c r="K330" s="261">
        <f t="shared" si="8"/>
        <v>-3.9350877502425254E-2</v>
      </c>
      <c r="L330" s="85">
        <f t="shared" si="8"/>
        <v>0</v>
      </c>
    </row>
    <row r="331" spans="2:12" x14ac:dyDescent="0.2">
      <c r="B331" s="83" t="str">
        <f t="shared" si="8"/>
        <v>תקבולים ממשרד הרווחה</v>
      </c>
      <c r="C331" s="88">
        <f t="shared" si="8"/>
        <v>9308</v>
      </c>
      <c r="D331" s="84">
        <f t="shared" si="8"/>
        <v>0</v>
      </c>
      <c r="E331" s="262">
        <f t="shared" si="8"/>
        <v>2327</v>
      </c>
      <c r="F331" s="84">
        <f t="shared" si="8"/>
        <v>0</v>
      </c>
      <c r="G331" s="88">
        <f t="shared" si="8"/>
        <v>2086</v>
      </c>
      <c r="H331" s="84">
        <f t="shared" si="8"/>
        <v>0</v>
      </c>
      <c r="I331" s="262">
        <f t="shared" si="8"/>
        <v>-241</v>
      </c>
      <c r="J331" s="84">
        <f t="shared" si="8"/>
        <v>0</v>
      </c>
      <c r="K331" s="263">
        <f t="shared" si="8"/>
        <v>-0.1035668242372153</v>
      </c>
      <c r="L331" s="85">
        <f t="shared" si="8"/>
        <v>0</v>
      </c>
    </row>
    <row r="332" spans="2:12" x14ac:dyDescent="0.2">
      <c r="B332" s="83" t="str">
        <f t="shared" si="8"/>
        <v>תקבולים ממשלתיים אחרים</v>
      </c>
      <c r="C332" s="88">
        <f t="shared" si="8"/>
        <v>9050</v>
      </c>
      <c r="D332" s="84">
        <f t="shared" si="8"/>
        <v>0</v>
      </c>
      <c r="E332" s="262">
        <f t="shared" si="8"/>
        <v>2262.5</v>
      </c>
      <c r="F332" s="84">
        <f t="shared" si="8"/>
        <v>0</v>
      </c>
      <c r="G332" s="88">
        <f t="shared" si="8"/>
        <v>2036</v>
      </c>
      <c r="H332" s="84">
        <f t="shared" si="8"/>
        <v>0</v>
      </c>
      <c r="I332" s="262">
        <f t="shared" si="8"/>
        <v>-226.5</v>
      </c>
      <c r="J332" s="84">
        <f t="shared" si="8"/>
        <v>0</v>
      </c>
      <c r="K332" s="263">
        <f t="shared" si="8"/>
        <v>-0.10011049723756905</v>
      </c>
      <c r="L332" s="85">
        <f t="shared" si="8"/>
        <v>0</v>
      </c>
    </row>
    <row r="333" spans="2:12" x14ac:dyDescent="0.2">
      <c r="B333" s="83" t="str">
        <f t="shared" ref="B333:L342" si="9">B21</f>
        <v>מענק כללי לאיזון</v>
      </c>
      <c r="C333" s="88">
        <f t="shared" si="9"/>
        <v>4200</v>
      </c>
      <c r="D333" s="84">
        <f t="shared" si="9"/>
        <v>0</v>
      </c>
      <c r="E333" s="262">
        <f t="shared" si="9"/>
        <v>1050</v>
      </c>
      <c r="F333" s="84">
        <f t="shared" si="9"/>
        <v>0</v>
      </c>
      <c r="G333" s="88">
        <f t="shared" si="9"/>
        <v>1120</v>
      </c>
      <c r="H333" s="84">
        <f t="shared" si="9"/>
        <v>0</v>
      </c>
      <c r="I333" s="262">
        <f t="shared" si="9"/>
        <v>70</v>
      </c>
      <c r="J333" s="84">
        <f t="shared" si="9"/>
        <v>0</v>
      </c>
      <c r="K333" s="263">
        <f t="shared" si="9"/>
        <v>6.6666666666666666E-2</v>
      </c>
      <c r="L333" s="85">
        <f t="shared" si="9"/>
        <v>0</v>
      </c>
    </row>
    <row r="334" spans="2:12" x14ac:dyDescent="0.2">
      <c r="B334" s="83" t="str">
        <f t="shared" si="9"/>
        <v>מענקים מיועדים</v>
      </c>
      <c r="C334" s="88">
        <f t="shared" si="9"/>
        <v>147</v>
      </c>
      <c r="D334" s="84">
        <f t="shared" si="9"/>
        <v>0</v>
      </c>
      <c r="E334" s="262">
        <f t="shared" si="9"/>
        <v>36.75</v>
      </c>
      <c r="F334" s="84">
        <f t="shared" si="9"/>
        <v>0</v>
      </c>
      <c r="G334" s="88">
        <f t="shared" si="9"/>
        <v>0</v>
      </c>
      <c r="H334" s="84">
        <f t="shared" si="9"/>
        <v>0</v>
      </c>
      <c r="I334" s="262">
        <f t="shared" si="9"/>
        <v>-36.75</v>
      </c>
      <c r="J334" s="84">
        <f t="shared" si="9"/>
        <v>0</v>
      </c>
      <c r="K334" s="263">
        <f t="shared" si="9"/>
        <v>-1</v>
      </c>
      <c r="L334" s="85">
        <f t="shared" si="9"/>
        <v>0</v>
      </c>
    </row>
    <row r="335" spans="2:12" ht="12" customHeight="1" x14ac:dyDescent="0.2">
      <c r="B335" s="83" t="str">
        <f t="shared" si="9"/>
        <v>תקבולים אחרים</v>
      </c>
      <c r="C335" s="88">
        <f t="shared" si="9"/>
        <v>1855</v>
      </c>
      <c r="D335" s="84">
        <f t="shared" si="9"/>
        <v>0</v>
      </c>
      <c r="E335" s="262">
        <f t="shared" si="9"/>
        <v>463.75</v>
      </c>
      <c r="F335" s="84">
        <f t="shared" si="9"/>
        <v>0</v>
      </c>
      <c r="G335" s="88">
        <f t="shared" si="9"/>
        <v>844</v>
      </c>
      <c r="H335" s="84">
        <f t="shared" si="9"/>
        <v>0</v>
      </c>
      <c r="I335" s="262">
        <f t="shared" si="9"/>
        <v>380.25</v>
      </c>
      <c r="J335" s="84">
        <f t="shared" si="9"/>
        <v>0</v>
      </c>
      <c r="K335" s="263">
        <f t="shared" si="9"/>
        <v>0.81994609164420484</v>
      </c>
      <c r="L335" s="85"/>
    </row>
    <row r="336" spans="2:12" ht="2.25" hidden="1" customHeight="1" x14ac:dyDescent="0.2">
      <c r="B336" s="83">
        <f t="shared" si="9"/>
        <v>0</v>
      </c>
      <c r="C336" s="88">
        <f t="shared" si="9"/>
        <v>0</v>
      </c>
      <c r="D336" s="84">
        <f t="shared" si="9"/>
        <v>0</v>
      </c>
      <c r="E336" s="262">
        <f t="shared" si="9"/>
        <v>0</v>
      </c>
      <c r="F336" s="84">
        <f t="shared" si="9"/>
        <v>0</v>
      </c>
      <c r="G336" s="88">
        <f t="shared" si="9"/>
        <v>0</v>
      </c>
      <c r="H336" s="84">
        <f t="shared" si="9"/>
        <v>0</v>
      </c>
      <c r="I336" s="262">
        <f t="shared" si="9"/>
        <v>0</v>
      </c>
      <c r="J336" s="84">
        <f t="shared" si="9"/>
        <v>0</v>
      </c>
      <c r="K336" s="263">
        <f t="shared" si="9"/>
        <v>0</v>
      </c>
      <c r="L336" s="85">
        <f>L24</f>
        <v>0</v>
      </c>
    </row>
    <row r="337" spans="2:12" ht="24" customHeight="1" x14ac:dyDescent="0.2">
      <c r="B337" s="275" t="str">
        <f t="shared" si="9"/>
        <v>סה"כ הכנסות לפני כיסוי גרעון מצטבר והנחות בארנונה</v>
      </c>
      <c r="C337" s="265">
        <f t="shared" si="9"/>
        <v>152129</v>
      </c>
      <c r="D337" s="84">
        <f t="shared" si="9"/>
        <v>0</v>
      </c>
      <c r="E337" s="266">
        <f t="shared" si="9"/>
        <v>38032.25</v>
      </c>
      <c r="F337" s="84">
        <f t="shared" si="9"/>
        <v>0</v>
      </c>
      <c r="G337" s="265">
        <f t="shared" si="9"/>
        <v>37837.8004</v>
      </c>
      <c r="H337" s="84">
        <f t="shared" si="9"/>
        <v>0</v>
      </c>
      <c r="I337" s="266">
        <f t="shared" si="9"/>
        <v>-194.44959999999992</v>
      </c>
      <c r="J337" s="84">
        <f t="shared" si="9"/>
        <v>0</v>
      </c>
      <c r="K337" s="267">
        <f t="shared" si="9"/>
        <v>-5.1127556218735397E-3</v>
      </c>
      <c r="L337" s="85"/>
    </row>
    <row r="338" spans="2:12" ht="6.75" customHeight="1" x14ac:dyDescent="0.2">
      <c r="B338" s="83">
        <f t="shared" si="9"/>
        <v>0</v>
      </c>
      <c r="C338" s="87">
        <f t="shared" si="9"/>
        <v>0</v>
      </c>
      <c r="D338" s="84">
        <f t="shared" si="9"/>
        <v>0</v>
      </c>
      <c r="E338" s="260">
        <f t="shared" si="9"/>
        <v>0</v>
      </c>
      <c r="F338" s="84">
        <f t="shared" si="9"/>
        <v>0</v>
      </c>
      <c r="G338" s="87">
        <f t="shared" si="9"/>
        <v>0</v>
      </c>
      <c r="H338" s="84">
        <f t="shared" si="9"/>
        <v>0</v>
      </c>
      <c r="I338" s="260">
        <f t="shared" si="9"/>
        <v>0</v>
      </c>
      <c r="J338" s="84">
        <f t="shared" si="9"/>
        <v>0</v>
      </c>
      <c r="K338" s="261">
        <f t="shared" si="9"/>
        <v>0</v>
      </c>
      <c r="L338" s="85"/>
    </row>
    <row r="339" spans="2:12" hidden="1" x14ac:dyDescent="0.2">
      <c r="B339" s="83" t="str">
        <f t="shared" si="9"/>
        <v>כיסוי ממקורות הרשות בשנים הבאות</v>
      </c>
      <c r="C339" s="87">
        <f t="shared" si="9"/>
        <v>0</v>
      </c>
      <c r="D339" s="84">
        <f t="shared" si="9"/>
        <v>0</v>
      </c>
      <c r="E339" s="260">
        <f t="shared" si="9"/>
        <v>0</v>
      </c>
      <c r="F339" s="84">
        <f t="shared" si="9"/>
        <v>0</v>
      </c>
      <c r="G339" s="87">
        <f t="shared" si="9"/>
        <v>0</v>
      </c>
      <c r="H339" s="84">
        <f t="shared" si="9"/>
        <v>0</v>
      </c>
      <c r="I339" s="260">
        <f t="shared" si="9"/>
        <v>0</v>
      </c>
      <c r="J339" s="84">
        <f t="shared" si="9"/>
        <v>0</v>
      </c>
      <c r="K339" s="261">
        <f t="shared" si="9"/>
        <v>0</v>
      </c>
      <c r="L339" s="85"/>
    </row>
    <row r="340" spans="2:12" x14ac:dyDescent="0.2">
      <c r="B340" s="83" t="str">
        <f t="shared" si="9"/>
        <v>מענק לכיסוי גרעון מצטבר</v>
      </c>
      <c r="C340" s="101">
        <f t="shared" si="9"/>
        <v>0</v>
      </c>
      <c r="D340" s="84">
        <f t="shared" si="9"/>
        <v>0</v>
      </c>
      <c r="E340" s="530">
        <f t="shared" si="9"/>
        <v>0</v>
      </c>
      <c r="F340" s="84">
        <f t="shared" si="9"/>
        <v>0</v>
      </c>
      <c r="G340" s="101">
        <f t="shared" si="9"/>
        <v>0</v>
      </c>
      <c r="H340" s="84">
        <f t="shared" si="9"/>
        <v>0</v>
      </c>
      <c r="I340" s="530">
        <f t="shared" si="9"/>
        <v>0</v>
      </c>
      <c r="J340" s="84">
        <f t="shared" si="9"/>
        <v>0</v>
      </c>
      <c r="K340" s="531">
        <f t="shared" si="9"/>
        <v>0</v>
      </c>
      <c r="L340" s="85"/>
    </row>
    <row r="341" spans="2:12" x14ac:dyDescent="0.2">
      <c r="B341" s="83" t="str">
        <f t="shared" si="9"/>
        <v>הנחות בארנונה (הכנסות)</v>
      </c>
      <c r="C341" s="88">
        <f t="shared" si="9"/>
        <v>4300</v>
      </c>
      <c r="D341" s="84">
        <f t="shared" si="9"/>
        <v>0</v>
      </c>
      <c r="E341" s="262">
        <f t="shared" si="9"/>
        <v>1075</v>
      </c>
      <c r="F341" s="84">
        <f t="shared" si="9"/>
        <v>0</v>
      </c>
      <c r="G341" s="88">
        <f t="shared" si="9"/>
        <v>1195</v>
      </c>
      <c r="H341" s="84">
        <f t="shared" si="9"/>
        <v>0</v>
      </c>
      <c r="I341" s="262">
        <f t="shared" si="9"/>
        <v>120</v>
      </c>
      <c r="J341" s="84">
        <f t="shared" si="9"/>
        <v>0</v>
      </c>
      <c r="K341" s="263">
        <f t="shared" si="9"/>
        <v>0.11162790697674418</v>
      </c>
      <c r="L341" s="85"/>
    </row>
    <row r="342" spans="2:12" ht="12.75" customHeight="1" thickBot="1" x14ac:dyDescent="0.25">
      <c r="B342" s="83" t="str">
        <f t="shared" si="9"/>
        <v>סה"כ הכנסות</v>
      </c>
      <c r="C342" s="89">
        <f t="shared" si="9"/>
        <v>156429</v>
      </c>
      <c r="D342" s="84">
        <f t="shared" si="9"/>
        <v>0</v>
      </c>
      <c r="E342" s="89">
        <f t="shared" si="9"/>
        <v>39107.25</v>
      </c>
      <c r="F342" s="84">
        <f t="shared" si="9"/>
        <v>0</v>
      </c>
      <c r="G342" s="89">
        <f t="shared" si="9"/>
        <v>39032.8004</v>
      </c>
      <c r="H342" s="84">
        <f t="shared" si="9"/>
        <v>0</v>
      </c>
      <c r="I342" s="89">
        <f t="shared" si="9"/>
        <v>-74.449599999999919</v>
      </c>
      <c r="J342" s="84">
        <f t="shared" si="9"/>
        <v>0</v>
      </c>
      <c r="K342" s="468">
        <f t="shared" si="9"/>
        <v>-1.9037288482314639E-3</v>
      </c>
      <c r="L342" s="85">
        <f t="shared" si="9"/>
        <v>0</v>
      </c>
    </row>
    <row r="343" spans="2:12" ht="12" customHeight="1" thickTop="1" x14ac:dyDescent="0.2">
      <c r="B343" s="83"/>
      <c r="C343" s="276"/>
      <c r="D343" s="84"/>
      <c r="E343" s="276"/>
      <c r="F343" s="84"/>
      <c r="G343" s="276"/>
      <c r="H343" s="84"/>
      <c r="I343" s="276"/>
      <c r="J343" s="84"/>
      <c r="K343" s="535"/>
      <c r="L343" s="85"/>
    </row>
    <row r="344" spans="2:12" ht="16.5" customHeight="1" x14ac:dyDescent="0.2">
      <c r="B344" s="534" t="str">
        <f t="shared" ref="B344:L344" si="10">B31</f>
        <v>הוצאות</v>
      </c>
      <c r="C344" s="84">
        <f t="shared" si="10"/>
        <v>0</v>
      </c>
      <c r="D344" s="84">
        <f t="shared" si="10"/>
        <v>0</v>
      </c>
      <c r="E344" s="84">
        <f t="shared" si="10"/>
        <v>0</v>
      </c>
      <c r="F344" s="84">
        <f t="shared" si="10"/>
        <v>0</v>
      </c>
      <c r="G344" s="84">
        <f t="shared" si="10"/>
        <v>0</v>
      </c>
      <c r="H344" s="84">
        <f t="shared" si="10"/>
        <v>0</v>
      </c>
      <c r="I344" s="84">
        <f t="shared" si="10"/>
        <v>0</v>
      </c>
      <c r="J344" s="84">
        <f t="shared" si="10"/>
        <v>0</v>
      </c>
      <c r="K344" s="84">
        <f t="shared" si="10"/>
        <v>0</v>
      </c>
      <c r="L344" s="85">
        <f t="shared" si="10"/>
        <v>0</v>
      </c>
    </row>
    <row r="345" spans="2:12" ht="12.75" customHeight="1" x14ac:dyDescent="0.2">
      <c r="B345" s="534"/>
      <c r="C345" s="84"/>
      <c r="D345" s="84"/>
      <c r="E345" s="84"/>
      <c r="F345" s="84"/>
      <c r="G345" s="84"/>
      <c r="H345" s="84"/>
      <c r="I345" s="84"/>
      <c r="J345" s="84"/>
      <c r="K345" s="84"/>
      <c r="L345" s="85"/>
    </row>
    <row r="346" spans="2:12" x14ac:dyDescent="0.2">
      <c r="B346" s="83" t="str">
        <f t="shared" ref="B346:L346" si="11">B32</f>
        <v>הוצאות שכר כללי</v>
      </c>
      <c r="C346" s="87">
        <f t="shared" si="11"/>
        <v>24289</v>
      </c>
      <c r="D346" s="84">
        <f t="shared" si="11"/>
        <v>0</v>
      </c>
      <c r="E346" s="260">
        <f t="shared" si="11"/>
        <v>6072.25</v>
      </c>
      <c r="F346" s="84">
        <f t="shared" si="11"/>
        <v>0</v>
      </c>
      <c r="G346" s="87">
        <f t="shared" si="11"/>
        <v>6187</v>
      </c>
      <c r="H346" s="84">
        <f t="shared" si="11"/>
        <v>0</v>
      </c>
      <c r="I346" s="260">
        <f t="shared" si="11"/>
        <v>114.75</v>
      </c>
      <c r="J346" s="84">
        <f t="shared" si="11"/>
        <v>0</v>
      </c>
      <c r="K346" s="261">
        <f t="shared" si="11"/>
        <v>1.8897443287084689E-2</v>
      </c>
      <c r="L346" s="85">
        <f t="shared" si="11"/>
        <v>0</v>
      </c>
    </row>
    <row r="347" spans="2:12" x14ac:dyDescent="0.2">
      <c r="B347" s="83" t="str">
        <f t="shared" ref="B347:L347" si="12">B33</f>
        <v>פעולות כלליות</v>
      </c>
      <c r="C347" s="88">
        <f t="shared" si="12"/>
        <v>40811</v>
      </c>
      <c r="D347" s="84">
        <f t="shared" si="12"/>
        <v>0</v>
      </c>
      <c r="E347" s="262">
        <f t="shared" si="12"/>
        <v>10202.75</v>
      </c>
      <c r="F347" s="84">
        <f t="shared" si="12"/>
        <v>0</v>
      </c>
      <c r="G347" s="88">
        <f t="shared" si="12"/>
        <v>9774</v>
      </c>
      <c r="H347" s="84">
        <f t="shared" si="12"/>
        <v>0</v>
      </c>
      <c r="I347" s="262">
        <f t="shared" si="12"/>
        <v>-428.75</v>
      </c>
      <c r="J347" s="84">
        <f t="shared" si="12"/>
        <v>0</v>
      </c>
      <c r="K347" s="263">
        <f t="shared" si="12"/>
        <v>-4.2022983999411921E-2</v>
      </c>
      <c r="L347" s="85">
        <f t="shared" si="12"/>
        <v>0</v>
      </c>
    </row>
    <row r="348" spans="2:12" x14ac:dyDescent="0.2">
      <c r="B348" s="83" t="str">
        <f t="shared" ref="B348:L348" si="13">B34</f>
        <v>הוצאות רכישת מים</v>
      </c>
      <c r="C348" s="88">
        <f t="shared" si="13"/>
        <v>1100</v>
      </c>
      <c r="D348" s="84">
        <f t="shared" si="13"/>
        <v>0</v>
      </c>
      <c r="E348" s="262">
        <f t="shared" si="13"/>
        <v>275</v>
      </c>
      <c r="F348" s="84">
        <f t="shared" si="13"/>
        <v>0</v>
      </c>
      <c r="G348" s="88">
        <f t="shared" si="13"/>
        <v>266</v>
      </c>
      <c r="H348" s="84">
        <f t="shared" si="13"/>
        <v>0</v>
      </c>
      <c r="I348" s="262">
        <f t="shared" si="13"/>
        <v>-9</v>
      </c>
      <c r="J348" s="84">
        <f t="shared" si="13"/>
        <v>0</v>
      </c>
      <c r="K348" s="263">
        <f t="shared" si="13"/>
        <v>-3.272727272727273E-2</v>
      </c>
      <c r="L348" s="85">
        <f t="shared" si="13"/>
        <v>0</v>
      </c>
    </row>
    <row r="349" spans="2:12" x14ac:dyDescent="0.2">
      <c r="B349" s="83" t="str">
        <f t="shared" ref="B349:L349" si="14">B35</f>
        <v>סה"כ כלליות</v>
      </c>
      <c r="C349" s="89">
        <f t="shared" si="14"/>
        <v>66200</v>
      </c>
      <c r="D349" s="84">
        <f t="shared" si="14"/>
        <v>0</v>
      </c>
      <c r="E349" s="89">
        <f t="shared" si="14"/>
        <v>16550</v>
      </c>
      <c r="F349" s="84">
        <f t="shared" si="14"/>
        <v>0</v>
      </c>
      <c r="G349" s="89">
        <f t="shared" si="14"/>
        <v>16227</v>
      </c>
      <c r="H349" s="84">
        <f t="shared" si="14"/>
        <v>0</v>
      </c>
      <c r="I349" s="89">
        <f t="shared" si="14"/>
        <v>-323</v>
      </c>
      <c r="J349" s="84">
        <f t="shared" si="14"/>
        <v>0</v>
      </c>
      <c r="K349" s="269">
        <f t="shared" si="14"/>
        <v>-1.9516616314199396E-2</v>
      </c>
      <c r="L349" s="85">
        <f t="shared" si="14"/>
        <v>0</v>
      </c>
    </row>
    <row r="350" spans="2:12" x14ac:dyDescent="0.2">
      <c r="B350" s="83">
        <f t="shared" ref="B350:L350" si="15">B36</f>
        <v>0</v>
      </c>
      <c r="C350" s="84">
        <f t="shared" si="15"/>
        <v>0</v>
      </c>
      <c r="D350" s="84">
        <f t="shared" si="15"/>
        <v>0</v>
      </c>
      <c r="E350" s="84">
        <f t="shared" si="15"/>
        <v>0</v>
      </c>
      <c r="F350" s="84">
        <f t="shared" si="15"/>
        <v>0</v>
      </c>
      <c r="G350" s="84">
        <f t="shared" si="15"/>
        <v>0</v>
      </c>
      <c r="H350" s="84">
        <f t="shared" si="15"/>
        <v>0</v>
      </c>
      <c r="I350" s="84">
        <f t="shared" si="15"/>
        <v>0</v>
      </c>
      <c r="J350" s="84">
        <f t="shared" si="15"/>
        <v>0</v>
      </c>
      <c r="K350" s="84">
        <f t="shared" si="15"/>
        <v>0</v>
      </c>
      <c r="L350" s="85">
        <f t="shared" si="15"/>
        <v>0</v>
      </c>
    </row>
    <row r="351" spans="2:12" x14ac:dyDescent="0.2">
      <c r="B351" s="83" t="str">
        <f t="shared" ref="B351:L366" si="16">B37</f>
        <v>שכר עובדי חינוך</v>
      </c>
      <c r="C351" s="87">
        <f t="shared" si="16"/>
        <v>33706</v>
      </c>
      <c r="D351" s="84">
        <f t="shared" si="16"/>
        <v>0</v>
      </c>
      <c r="E351" s="260">
        <f t="shared" si="16"/>
        <v>8426.5</v>
      </c>
      <c r="F351" s="84">
        <f t="shared" si="16"/>
        <v>0</v>
      </c>
      <c r="G351" s="87">
        <f t="shared" si="16"/>
        <v>7950</v>
      </c>
      <c r="H351" s="84">
        <f t="shared" si="16"/>
        <v>0</v>
      </c>
      <c r="I351" s="260">
        <f t="shared" si="16"/>
        <v>-476.5</v>
      </c>
      <c r="J351" s="84">
        <f t="shared" si="16"/>
        <v>0</v>
      </c>
      <c r="K351" s="261">
        <f t="shared" si="16"/>
        <v>-5.6547795644692339E-2</v>
      </c>
      <c r="L351" s="85">
        <f t="shared" si="16"/>
        <v>0</v>
      </c>
    </row>
    <row r="352" spans="2:12" x14ac:dyDescent="0.2">
      <c r="B352" s="83" t="str">
        <f t="shared" si="16"/>
        <v>פעולות חינוך</v>
      </c>
      <c r="C352" s="88">
        <f t="shared" si="16"/>
        <v>27811</v>
      </c>
      <c r="D352" s="84">
        <f t="shared" si="16"/>
        <v>0</v>
      </c>
      <c r="E352" s="262">
        <f t="shared" si="16"/>
        <v>6952.75</v>
      </c>
      <c r="F352" s="84">
        <f t="shared" si="16"/>
        <v>0</v>
      </c>
      <c r="G352" s="88">
        <f t="shared" si="16"/>
        <v>7648</v>
      </c>
      <c r="H352" s="84">
        <f t="shared" si="16"/>
        <v>0</v>
      </c>
      <c r="I352" s="262">
        <f t="shared" si="16"/>
        <v>695.25</v>
      </c>
      <c r="J352" s="84">
        <f t="shared" si="16"/>
        <v>0</v>
      </c>
      <c r="K352" s="263">
        <f t="shared" si="16"/>
        <v>9.9996404300456657E-2</v>
      </c>
      <c r="L352" s="85">
        <f t="shared" si="16"/>
        <v>0</v>
      </c>
    </row>
    <row r="353" spans="2:12" x14ac:dyDescent="0.2">
      <c r="B353" s="83" t="str">
        <f t="shared" si="16"/>
        <v>סה"כ חינוך</v>
      </c>
      <c r="C353" s="89">
        <f t="shared" si="16"/>
        <v>61517</v>
      </c>
      <c r="D353" s="84">
        <f t="shared" si="16"/>
        <v>0</v>
      </c>
      <c r="E353" s="89">
        <f t="shared" si="16"/>
        <v>15379.25</v>
      </c>
      <c r="F353" s="84">
        <f t="shared" si="16"/>
        <v>0</v>
      </c>
      <c r="G353" s="89">
        <f t="shared" si="16"/>
        <v>15598</v>
      </c>
      <c r="H353" s="84">
        <f t="shared" si="16"/>
        <v>0</v>
      </c>
      <c r="I353" s="89">
        <f t="shared" si="16"/>
        <v>218.75</v>
      </c>
      <c r="J353" s="84">
        <f t="shared" si="16"/>
        <v>0</v>
      </c>
      <c r="K353" s="270">
        <f t="shared" si="16"/>
        <v>1.4223710519043517E-2</v>
      </c>
      <c r="L353" s="85">
        <f t="shared" si="16"/>
        <v>0</v>
      </c>
    </row>
    <row r="354" spans="2:12" x14ac:dyDescent="0.2">
      <c r="B354" s="83" t="str">
        <f t="shared" si="16"/>
        <v>שכר עובדי רווחה</v>
      </c>
      <c r="C354" s="87">
        <f t="shared" si="16"/>
        <v>2210</v>
      </c>
      <c r="D354" s="84">
        <f t="shared" si="16"/>
        <v>0</v>
      </c>
      <c r="E354" s="260">
        <f t="shared" si="16"/>
        <v>552.5</v>
      </c>
      <c r="F354" s="84">
        <f t="shared" si="16"/>
        <v>0</v>
      </c>
      <c r="G354" s="87">
        <f t="shared" si="16"/>
        <v>531</v>
      </c>
      <c r="H354" s="84">
        <f t="shared" si="16"/>
        <v>0</v>
      </c>
      <c r="I354" s="260">
        <f t="shared" si="16"/>
        <v>-21.5</v>
      </c>
      <c r="J354" s="84">
        <f t="shared" si="16"/>
        <v>0</v>
      </c>
      <c r="K354" s="263">
        <f t="shared" si="16"/>
        <v>-3.8914027149321267E-2</v>
      </c>
      <c r="L354" s="85">
        <f t="shared" si="16"/>
        <v>0</v>
      </c>
    </row>
    <row r="355" spans="2:12" x14ac:dyDescent="0.2">
      <c r="B355" s="83" t="str">
        <f t="shared" si="16"/>
        <v>פעולות רווחה</v>
      </c>
      <c r="C355" s="88">
        <f t="shared" si="16"/>
        <v>12174</v>
      </c>
      <c r="D355" s="84">
        <f t="shared" si="16"/>
        <v>0</v>
      </c>
      <c r="E355" s="262">
        <f t="shared" si="16"/>
        <v>3043.5</v>
      </c>
      <c r="F355" s="84">
        <f t="shared" si="16"/>
        <v>0</v>
      </c>
      <c r="G355" s="88">
        <f t="shared" si="16"/>
        <v>3053</v>
      </c>
      <c r="H355" s="84">
        <f t="shared" si="16"/>
        <v>0</v>
      </c>
      <c r="I355" s="262">
        <f t="shared" si="16"/>
        <v>9.5</v>
      </c>
      <c r="J355" s="84">
        <f t="shared" si="16"/>
        <v>0</v>
      </c>
      <c r="K355" s="263">
        <f t="shared" si="16"/>
        <v>3.1214062756694597E-3</v>
      </c>
      <c r="L355" s="85">
        <f t="shared" si="16"/>
        <v>0</v>
      </c>
    </row>
    <row r="356" spans="2:12" x14ac:dyDescent="0.2">
      <c r="B356" s="83" t="str">
        <f t="shared" si="16"/>
        <v>סה"כ רווחה</v>
      </c>
      <c r="C356" s="271">
        <f t="shared" si="16"/>
        <v>14384</v>
      </c>
      <c r="D356" s="84">
        <f t="shared" si="16"/>
        <v>0</v>
      </c>
      <c r="E356" s="271">
        <f t="shared" si="16"/>
        <v>3596</v>
      </c>
      <c r="F356" s="84">
        <f t="shared" si="16"/>
        <v>0</v>
      </c>
      <c r="G356" s="271">
        <f t="shared" si="16"/>
        <v>3584</v>
      </c>
      <c r="H356" s="84">
        <f t="shared" si="16"/>
        <v>0</v>
      </c>
      <c r="I356" s="271">
        <f t="shared" si="16"/>
        <v>-12</v>
      </c>
      <c r="J356" s="84">
        <f t="shared" si="16"/>
        <v>0</v>
      </c>
      <c r="K356" s="272">
        <f t="shared" si="16"/>
        <v>-3.3370411568409346E-3</v>
      </c>
      <c r="L356" s="85">
        <f t="shared" si="16"/>
        <v>0</v>
      </c>
    </row>
    <row r="357" spans="2:12" ht="4.5" customHeight="1" x14ac:dyDescent="0.2">
      <c r="B357" s="83">
        <f t="shared" si="16"/>
        <v>0</v>
      </c>
      <c r="C357" s="273">
        <f t="shared" si="16"/>
        <v>0</v>
      </c>
      <c r="D357" s="84">
        <f t="shared" si="16"/>
        <v>0</v>
      </c>
      <c r="E357" s="273">
        <f t="shared" si="16"/>
        <v>0</v>
      </c>
      <c r="F357" s="84">
        <f t="shared" si="16"/>
        <v>0</v>
      </c>
      <c r="G357" s="273">
        <f t="shared" si="16"/>
        <v>0</v>
      </c>
      <c r="H357" s="84">
        <f t="shared" si="16"/>
        <v>0</v>
      </c>
      <c r="I357" s="273">
        <f t="shared" si="16"/>
        <v>0</v>
      </c>
      <c r="J357" s="84">
        <f t="shared" si="16"/>
        <v>0</v>
      </c>
      <c r="K357" s="274">
        <f t="shared" si="16"/>
        <v>0</v>
      </c>
      <c r="L357" s="85"/>
    </row>
    <row r="358" spans="2:12" ht="23.25" customHeight="1" x14ac:dyDescent="0.2">
      <c r="B358" s="275" t="str">
        <f t="shared" si="16"/>
        <v>סה"כ הוצאות לפני פרעון מלוות, מימון, כיסוי גרעון מצטבר והנחות בארנונה</v>
      </c>
      <c r="C358" s="89">
        <f t="shared" si="16"/>
        <v>142101</v>
      </c>
      <c r="D358" s="84">
        <f t="shared" si="16"/>
        <v>0</v>
      </c>
      <c r="E358" s="89">
        <f t="shared" si="16"/>
        <v>35525.25</v>
      </c>
      <c r="F358" s="84">
        <f t="shared" si="16"/>
        <v>0</v>
      </c>
      <c r="G358" s="89">
        <f t="shared" si="16"/>
        <v>35409</v>
      </c>
      <c r="H358" s="84">
        <f t="shared" si="16"/>
        <v>0</v>
      </c>
      <c r="I358" s="89">
        <f t="shared" si="16"/>
        <v>-116.25</v>
      </c>
      <c r="J358" s="84">
        <f t="shared" si="16"/>
        <v>0</v>
      </c>
      <c r="K358" s="270">
        <f t="shared" si="16"/>
        <v>-3.2723203918339772E-3</v>
      </c>
      <c r="L358" s="85"/>
    </row>
    <row r="359" spans="2:12" x14ac:dyDescent="0.2">
      <c r="B359" s="83" t="str">
        <f t="shared" si="16"/>
        <v>פרעון מלוות מים וביוב</v>
      </c>
      <c r="C359" s="87">
        <f t="shared" si="16"/>
        <v>4600</v>
      </c>
      <c r="D359" s="84">
        <f t="shared" si="16"/>
        <v>0</v>
      </c>
      <c r="E359" s="260">
        <f t="shared" si="16"/>
        <v>1150</v>
      </c>
      <c r="F359" s="84">
        <f t="shared" si="16"/>
        <v>0</v>
      </c>
      <c r="G359" s="87">
        <f t="shared" si="16"/>
        <v>1085</v>
      </c>
      <c r="H359" s="84">
        <f t="shared" si="16"/>
        <v>0</v>
      </c>
      <c r="I359" s="260">
        <f t="shared" si="16"/>
        <v>-65</v>
      </c>
      <c r="J359" s="84">
        <f t="shared" si="16"/>
        <v>0</v>
      </c>
      <c r="K359" s="261">
        <f t="shared" si="16"/>
        <v>-5.6521739130434782E-2</v>
      </c>
      <c r="L359" s="85">
        <f>L45</f>
        <v>0</v>
      </c>
    </row>
    <row r="360" spans="2:12" x14ac:dyDescent="0.2">
      <c r="B360" s="83" t="str">
        <f t="shared" si="16"/>
        <v>פרעון מלוות אחרות</v>
      </c>
      <c r="C360" s="88">
        <f t="shared" si="16"/>
        <v>4900</v>
      </c>
      <c r="D360" s="84">
        <f t="shared" si="16"/>
        <v>0</v>
      </c>
      <c r="E360" s="262">
        <f t="shared" si="16"/>
        <v>1225</v>
      </c>
      <c r="F360" s="84">
        <f t="shared" si="16"/>
        <v>0</v>
      </c>
      <c r="G360" s="88">
        <f t="shared" si="16"/>
        <v>1140</v>
      </c>
      <c r="H360" s="84">
        <f t="shared" si="16"/>
        <v>0</v>
      </c>
      <c r="I360" s="262">
        <f t="shared" si="16"/>
        <v>-85</v>
      </c>
      <c r="J360" s="84">
        <f t="shared" si="16"/>
        <v>0</v>
      </c>
      <c r="K360" s="263">
        <f t="shared" si="16"/>
        <v>-6.9387755102040816E-2</v>
      </c>
      <c r="L360" s="85">
        <f>L46</f>
        <v>0</v>
      </c>
    </row>
    <row r="361" spans="2:12" x14ac:dyDescent="0.2">
      <c r="B361" s="83" t="str">
        <f t="shared" si="16"/>
        <v>סה"כ פרעון מלוות</v>
      </c>
      <c r="C361" s="89">
        <f t="shared" si="16"/>
        <v>9500</v>
      </c>
      <c r="D361" s="84">
        <f t="shared" si="16"/>
        <v>0</v>
      </c>
      <c r="E361" s="89">
        <f t="shared" si="16"/>
        <v>2375</v>
      </c>
      <c r="F361" s="84">
        <f t="shared" si="16"/>
        <v>0</v>
      </c>
      <c r="G361" s="89">
        <f t="shared" si="16"/>
        <v>2225</v>
      </c>
      <c r="H361" s="84">
        <f t="shared" si="16"/>
        <v>0</v>
      </c>
      <c r="I361" s="89">
        <f t="shared" si="16"/>
        <v>-150</v>
      </c>
      <c r="J361" s="84">
        <f t="shared" si="16"/>
        <v>0</v>
      </c>
      <c r="K361" s="270">
        <f t="shared" si="16"/>
        <v>-6.3157894736842107E-2</v>
      </c>
      <c r="L361" s="85">
        <f>L47</f>
        <v>0</v>
      </c>
    </row>
    <row r="362" spans="2:12" ht="4.5" customHeight="1" x14ac:dyDescent="0.2">
      <c r="B362" s="83">
        <f t="shared" si="16"/>
        <v>0</v>
      </c>
      <c r="C362" s="276">
        <f t="shared" si="16"/>
        <v>0</v>
      </c>
      <c r="D362" s="84">
        <f t="shared" si="16"/>
        <v>0</v>
      </c>
      <c r="E362" s="276">
        <f t="shared" si="16"/>
        <v>0</v>
      </c>
      <c r="F362" s="84">
        <f t="shared" si="16"/>
        <v>0</v>
      </c>
      <c r="G362" s="276">
        <f t="shared" si="16"/>
        <v>0</v>
      </c>
      <c r="H362" s="84">
        <f t="shared" si="16"/>
        <v>0</v>
      </c>
      <c r="I362" s="276">
        <f t="shared" si="16"/>
        <v>0</v>
      </c>
      <c r="J362" s="84">
        <f t="shared" si="16"/>
        <v>0</v>
      </c>
      <c r="K362" s="277">
        <f t="shared" si="16"/>
        <v>0</v>
      </c>
      <c r="L362" s="85"/>
    </row>
    <row r="363" spans="2:12" x14ac:dyDescent="0.2">
      <c r="B363" s="83" t="str">
        <f t="shared" si="16"/>
        <v>הוצאות מימון</v>
      </c>
      <c r="C363" s="87">
        <f t="shared" si="16"/>
        <v>322</v>
      </c>
      <c r="D363" s="84">
        <f t="shared" si="16"/>
        <v>0</v>
      </c>
      <c r="E363" s="260">
        <f t="shared" si="16"/>
        <v>80.5</v>
      </c>
      <c r="F363" s="84">
        <f t="shared" si="16"/>
        <v>0</v>
      </c>
      <c r="G363" s="87">
        <f t="shared" si="16"/>
        <v>91</v>
      </c>
      <c r="H363" s="84">
        <f t="shared" si="16"/>
        <v>0</v>
      </c>
      <c r="I363" s="260">
        <f t="shared" si="16"/>
        <v>10.5</v>
      </c>
      <c r="J363" s="84">
        <f t="shared" si="16"/>
        <v>0</v>
      </c>
      <c r="K363" s="261">
        <f t="shared" si="16"/>
        <v>0.13043478260869565</v>
      </c>
      <c r="L363" s="85">
        <f>L49</f>
        <v>0</v>
      </c>
    </row>
    <row r="364" spans="2:12" x14ac:dyDescent="0.2">
      <c r="B364" s="278" t="str">
        <f t="shared" si="16"/>
        <v>העברות והוצאות חד פעמיות</v>
      </c>
      <c r="C364" s="88">
        <f t="shared" si="16"/>
        <v>206</v>
      </c>
      <c r="D364" s="84">
        <f t="shared" si="16"/>
        <v>0</v>
      </c>
      <c r="E364" s="262">
        <f t="shared" si="16"/>
        <v>51.5</v>
      </c>
      <c r="F364" s="84">
        <f t="shared" si="16"/>
        <v>0</v>
      </c>
      <c r="G364" s="88">
        <f t="shared" si="16"/>
        <v>27</v>
      </c>
      <c r="H364" s="84">
        <f t="shared" si="16"/>
        <v>0</v>
      </c>
      <c r="I364" s="262">
        <f t="shared" si="16"/>
        <v>-24.5</v>
      </c>
      <c r="J364" s="84">
        <f t="shared" si="16"/>
        <v>0</v>
      </c>
      <c r="K364" s="263">
        <f t="shared" si="16"/>
        <v>-0.47572815533980584</v>
      </c>
      <c r="L364" s="85">
        <f>L50</f>
        <v>0</v>
      </c>
    </row>
    <row r="365" spans="2:12" ht="26.25" customHeight="1" x14ac:dyDescent="0.2">
      <c r="B365" s="278" t="str">
        <f t="shared" si="16"/>
        <v>סה"כ הוצאות לפני כיסוי גרעון מצטבר והנחות בארנונה</v>
      </c>
      <c r="C365" s="265">
        <f t="shared" si="16"/>
        <v>152129</v>
      </c>
      <c r="D365" s="84">
        <f t="shared" si="16"/>
        <v>0</v>
      </c>
      <c r="E365" s="266">
        <f t="shared" si="16"/>
        <v>38032.25</v>
      </c>
      <c r="F365" s="84">
        <f t="shared" si="16"/>
        <v>0</v>
      </c>
      <c r="G365" s="265">
        <f t="shared" si="16"/>
        <v>37752</v>
      </c>
      <c r="H365" s="84">
        <f t="shared" si="16"/>
        <v>0</v>
      </c>
      <c r="I365" s="266">
        <f t="shared" si="16"/>
        <v>-280.25</v>
      </c>
      <c r="J365" s="84">
        <f t="shared" si="16"/>
        <v>0</v>
      </c>
      <c r="K365" s="267">
        <f t="shared" si="16"/>
        <v>-7.3687462613965778E-3</v>
      </c>
      <c r="L365" s="85"/>
    </row>
    <row r="366" spans="2:12" ht="4.5" customHeight="1" x14ac:dyDescent="0.2">
      <c r="B366" s="278">
        <f t="shared" si="16"/>
        <v>0</v>
      </c>
      <c r="C366" s="87">
        <f t="shared" si="16"/>
        <v>0</v>
      </c>
      <c r="D366" s="84">
        <f t="shared" si="16"/>
        <v>0</v>
      </c>
      <c r="E366" s="260">
        <f t="shared" si="16"/>
        <v>0</v>
      </c>
      <c r="F366" s="84">
        <f t="shared" si="16"/>
        <v>0</v>
      </c>
      <c r="G366" s="87">
        <f t="shared" si="16"/>
        <v>0</v>
      </c>
      <c r="H366" s="84">
        <f t="shared" si="16"/>
        <v>0</v>
      </c>
      <c r="I366" s="260">
        <f t="shared" si="16"/>
        <v>0</v>
      </c>
      <c r="J366" s="84">
        <f t="shared" si="16"/>
        <v>0</v>
      </c>
      <c r="K366" s="261">
        <f t="shared" si="16"/>
        <v>0</v>
      </c>
      <c r="L366" s="85"/>
    </row>
    <row r="367" spans="2:12" x14ac:dyDescent="0.2">
      <c r="B367" s="278" t="str">
        <f t="shared" ref="B367:K372" si="17">B53</f>
        <v>העברה לכיסוי גרעון מצטבר</v>
      </c>
      <c r="C367" s="88">
        <f t="shared" si="17"/>
        <v>0</v>
      </c>
      <c r="D367" s="84">
        <f t="shared" si="17"/>
        <v>0</v>
      </c>
      <c r="E367" s="262">
        <f t="shared" si="17"/>
        <v>0</v>
      </c>
      <c r="F367" s="84">
        <f t="shared" si="17"/>
        <v>0</v>
      </c>
      <c r="G367" s="88">
        <f t="shared" si="17"/>
        <v>0</v>
      </c>
      <c r="H367" s="84">
        <f t="shared" si="17"/>
        <v>0</v>
      </c>
      <c r="I367" s="262">
        <f t="shared" si="17"/>
        <v>0</v>
      </c>
      <c r="J367" s="84">
        <f t="shared" si="17"/>
        <v>0</v>
      </c>
      <c r="K367" s="263">
        <f t="shared" si="17"/>
        <v>0</v>
      </c>
      <c r="L367" s="85"/>
    </row>
    <row r="368" spans="2:12" x14ac:dyDescent="0.2">
      <c r="B368" s="278" t="str">
        <f t="shared" si="17"/>
        <v>הנחות בארנונה (הוצאות)</v>
      </c>
      <c r="C368" s="88">
        <f t="shared" si="17"/>
        <v>4300</v>
      </c>
      <c r="D368" s="84">
        <f t="shared" si="17"/>
        <v>0</v>
      </c>
      <c r="E368" s="262">
        <f t="shared" si="17"/>
        <v>1075</v>
      </c>
      <c r="F368" s="84">
        <f t="shared" si="17"/>
        <v>0</v>
      </c>
      <c r="G368" s="88">
        <f t="shared" si="17"/>
        <v>1195</v>
      </c>
      <c r="H368" s="84">
        <f t="shared" si="17"/>
        <v>0</v>
      </c>
      <c r="I368" s="262">
        <f t="shared" si="17"/>
        <v>120</v>
      </c>
      <c r="J368" s="84">
        <f t="shared" si="17"/>
        <v>0</v>
      </c>
      <c r="K368" s="263">
        <f t="shared" si="17"/>
        <v>0.11162790697674418</v>
      </c>
      <c r="L368" s="85"/>
    </row>
    <row r="369" spans="2:12" ht="13.5" thickBot="1" x14ac:dyDescent="0.25">
      <c r="B369" s="83" t="str">
        <f t="shared" si="17"/>
        <v>סה"כ הוצאות</v>
      </c>
      <c r="C369" s="89">
        <f t="shared" si="17"/>
        <v>156429</v>
      </c>
      <c r="D369" s="84">
        <f t="shared" si="17"/>
        <v>0</v>
      </c>
      <c r="E369" s="89">
        <f t="shared" si="17"/>
        <v>39107.25</v>
      </c>
      <c r="F369" s="84">
        <f t="shared" si="17"/>
        <v>0</v>
      </c>
      <c r="G369" s="89">
        <f t="shared" si="17"/>
        <v>38947</v>
      </c>
      <c r="H369" s="84">
        <f t="shared" si="17"/>
        <v>0</v>
      </c>
      <c r="I369" s="89">
        <f t="shared" si="17"/>
        <v>-160.25</v>
      </c>
      <c r="J369" s="84">
        <f t="shared" si="17"/>
        <v>0</v>
      </c>
      <c r="K369" s="268">
        <f t="shared" si="17"/>
        <v>-4.0977056683862969E-3</v>
      </c>
      <c r="L369" s="85">
        <f>L55</f>
        <v>0</v>
      </c>
    </row>
    <row r="370" spans="2:12" ht="13.5" thickTop="1" x14ac:dyDescent="0.2">
      <c r="B370" s="83">
        <f t="shared" si="17"/>
        <v>0</v>
      </c>
      <c r="C370" s="84">
        <f t="shared" si="17"/>
        <v>0</v>
      </c>
      <c r="D370" s="84">
        <f t="shared" si="17"/>
        <v>0</v>
      </c>
      <c r="E370" s="84">
        <f t="shared" si="17"/>
        <v>0</v>
      </c>
      <c r="F370" s="84">
        <f t="shared" si="17"/>
        <v>0</v>
      </c>
      <c r="G370" s="84">
        <f t="shared" si="17"/>
        <v>0</v>
      </c>
      <c r="H370" s="84">
        <f t="shared" si="17"/>
        <v>0</v>
      </c>
      <c r="I370" s="84">
        <f t="shared" si="17"/>
        <v>0</v>
      </c>
      <c r="J370" s="84">
        <f t="shared" si="17"/>
        <v>0</v>
      </c>
      <c r="K370" s="84">
        <f t="shared" si="17"/>
        <v>0</v>
      </c>
      <c r="L370" s="85">
        <f>L56</f>
        <v>0</v>
      </c>
    </row>
    <row r="371" spans="2:12" ht="13.5" thickBot="1" x14ac:dyDescent="0.25">
      <c r="B371" s="83" t="str">
        <f t="shared" si="17"/>
        <v>עודף (גרעון)</v>
      </c>
      <c r="C371" s="96">
        <f t="shared" si="17"/>
        <v>0</v>
      </c>
      <c r="D371" s="84">
        <f t="shared" si="17"/>
        <v>0</v>
      </c>
      <c r="E371" s="96">
        <f t="shared" si="17"/>
        <v>0</v>
      </c>
      <c r="F371" s="84">
        <f t="shared" si="17"/>
        <v>0</v>
      </c>
      <c r="G371" s="96">
        <f t="shared" si="17"/>
        <v>85.800400000000081</v>
      </c>
      <c r="H371" s="84">
        <f t="shared" si="17"/>
        <v>0</v>
      </c>
      <c r="I371" s="96">
        <f t="shared" si="17"/>
        <v>85.800400000000081</v>
      </c>
      <c r="J371" s="84">
        <f t="shared" si="17"/>
        <v>0</v>
      </c>
      <c r="K371" s="268">
        <f t="shared" si="17"/>
        <v>0</v>
      </c>
      <c r="L371" s="85">
        <f>L57</f>
        <v>0</v>
      </c>
    </row>
    <row r="372" spans="2:12" ht="13.5" thickTop="1" x14ac:dyDescent="0.2">
      <c r="B372" s="83">
        <f t="shared" si="17"/>
        <v>0</v>
      </c>
      <c r="C372" s="84">
        <f t="shared" si="17"/>
        <v>0</v>
      </c>
      <c r="D372" s="84">
        <f t="shared" si="17"/>
        <v>0</v>
      </c>
      <c r="E372" s="84">
        <f t="shared" si="17"/>
        <v>0</v>
      </c>
      <c r="F372" s="84">
        <f t="shared" si="17"/>
        <v>0</v>
      </c>
      <c r="G372" s="84">
        <f t="shared" si="17"/>
        <v>0</v>
      </c>
      <c r="H372" s="84">
        <f t="shared" si="17"/>
        <v>0</v>
      </c>
      <c r="I372" s="84">
        <f t="shared" si="17"/>
        <v>0</v>
      </c>
      <c r="J372" s="84">
        <f t="shared" si="17"/>
        <v>0</v>
      </c>
      <c r="K372" s="84">
        <f t="shared" si="17"/>
        <v>0</v>
      </c>
      <c r="L372" s="83">
        <f>L58</f>
        <v>0</v>
      </c>
    </row>
    <row r="373" spans="2:12" ht="28.5" customHeight="1" x14ac:dyDescent="0.2">
      <c r="B373" s="529" t="s">
        <v>849</v>
      </c>
      <c r="C373" s="42" t="str">
        <f>IF(Ishur&lt;&gt;"",Ishur,"יש למלא את הגורם המאשר את תקציב הרשות בגליון הגדרות כלליות")</f>
        <v>משרד הפנים</v>
      </c>
    </row>
    <row r="374" spans="2:12" ht="8.25" customHeight="1" x14ac:dyDescent="0.2">
      <c r="B374" s="58"/>
    </row>
    <row r="375" spans="2:12" x14ac:dyDescent="0.2">
      <c r="B375" s="162" t="str">
        <f>CONCATENATE("ביקורת:   ",BikoretCode)</f>
        <v xml:space="preserve">ביקורת:   </v>
      </c>
    </row>
  </sheetData>
  <sheetProtection password="83C1" sheet="1" objects="1" scenarios="1"/>
  <mergeCells count="6">
    <mergeCell ref="B315:L315"/>
    <mergeCell ref="B316:L316"/>
    <mergeCell ref="C1:L1"/>
    <mergeCell ref="C2:L2"/>
    <mergeCell ref="C3:L3"/>
    <mergeCell ref="B314:L314"/>
  </mergeCells>
  <phoneticPr fontId="58" type="noConversion"/>
  <conditionalFormatting sqref="C373:C374">
    <cfRule type="expression" dxfId="3" priority="1" stopIfTrue="1">
      <formula>$O$5=0</formula>
    </cfRule>
  </conditionalFormatting>
  <hyperlinks>
    <hyperlink ref="A5" location="'תוכן הענינים'!A1" tooltip="לחץ להצגת גליון תוכן הענינים" display="הצג תוכן ענינים"/>
  </hyperlinks>
  <printOptions horizontalCentered="1"/>
  <pageMargins left="0.23" right="0.24" top="0.8" bottom="1" header="0.5" footer="0.5"/>
  <pageSetup paperSize="9" scale="89" orientation="portrait" blackAndWhite="1" r:id="rId1"/>
  <headerFooter alignWithMargins="0"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/>
  <dimension ref="A1:I372"/>
  <sheetViews>
    <sheetView showRowColHeaders="0" showZeros="0" rightToLeft="1" zoomScale="90" workbookViewId="0">
      <selection activeCell="A4" sqref="A4"/>
    </sheetView>
  </sheetViews>
  <sheetFormatPr defaultColWidth="9.140625" defaultRowHeight="12.75" x14ac:dyDescent="0.2"/>
  <cols>
    <col min="1" max="1" width="9.140625" style="42"/>
    <col min="2" max="2" width="26" style="42" customWidth="1"/>
    <col min="3" max="3" width="11.5703125" style="42" customWidth="1"/>
    <col min="4" max="4" width="14.28515625" style="42" customWidth="1"/>
    <col min="5" max="5" width="2.7109375" style="42" customWidth="1"/>
    <col min="6" max="6" width="14.28515625" style="42" customWidth="1"/>
    <col min="7" max="7" width="2.85546875" style="42" customWidth="1"/>
    <col min="8" max="8" width="10.28515625" style="42" customWidth="1"/>
    <col min="9" max="16384" width="9.140625" style="42"/>
  </cols>
  <sheetData>
    <row r="1" spans="1:8" ht="19.5" thickTop="1" thickBot="1" x14ac:dyDescent="0.25">
      <c r="A1" s="41"/>
      <c r="B1" s="41"/>
      <c r="C1" s="634" t="str">
        <f>GufMevukar</f>
        <v>מ"א עמק הירדן</v>
      </c>
      <c r="D1" s="627"/>
      <c r="E1" s="627"/>
      <c r="F1" s="627"/>
      <c r="G1" s="627"/>
      <c r="H1" s="628"/>
    </row>
    <row r="2" spans="1:8" ht="15.75" customHeight="1" thickTop="1" thickBot="1" x14ac:dyDescent="0.25">
      <c r="A2" s="41"/>
      <c r="B2" s="41"/>
      <c r="C2" s="634" t="s">
        <v>826</v>
      </c>
      <c r="D2" s="627"/>
      <c r="E2" s="627"/>
      <c r="F2" s="627"/>
      <c r="G2" s="627"/>
      <c r="H2" s="628"/>
    </row>
    <row r="3" spans="1:8" ht="19.5" thickTop="1" thickBot="1" x14ac:dyDescent="0.25">
      <c r="A3" s="41"/>
      <c r="B3" s="41"/>
      <c r="C3" s="626" t="str">
        <f>ReportPeriod</f>
        <v>לתקופה: רבעון 1, שנת 2017</v>
      </c>
      <c r="D3" s="627"/>
      <c r="E3" s="627"/>
      <c r="F3" s="627"/>
      <c r="G3" s="627"/>
      <c r="H3" s="628"/>
    </row>
    <row r="4" spans="1:8" ht="13.5" thickTop="1" x14ac:dyDescent="0.2">
      <c r="A4" s="59" t="s">
        <v>584</v>
      </c>
      <c r="B4" s="43"/>
      <c r="C4" s="43"/>
      <c r="D4" s="43"/>
      <c r="E4" s="43"/>
      <c r="F4" s="43"/>
      <c r="G4" s="43"/>
      <c r="H4" s="44"/>
    </row>
    <row r="5" spans="1:8" x14ac:dyDescent="0.2">
      <c r="A5" s="43"/>
      <c r="B5" s="43"/>
      <c r="C5" s="43"/>
      <c r="D5" s="43"/>
      <c r="E5" s="43"/>
      <c r="F5" s="43"/>
      <c r="G5" s="43"/>
      <c r="H5" s="44"/>
    </row>
    <row r="6" spans="1:8" x14ac:dyDescent="0.2">
      <c r="A6" s="43"/>
      <c r="B6" s="45"/>
      <c r="C6" s="45"/>
      <c r="D6" s="60" t="s">
        <v>589</v>
      </c>
      <c r="E6" s="45"/>
      <c r="F6" s="45" t="s">
        <v>590</v>
      </c>
      <c r="G6" s="45"/>
      <c r="H6" s="44"/>
    </row>
    <row r="7" spans="1:8" x14ac:dyDescent="0.2">
      <c r="A7" s="43"/>
      <c r="B7" s="46"/>
      <c r="C7" s="47"/>
      <c r="D7" s="47"/>
      <c r="E7" s="47"/>
      <c r="F7" s="47"/>
      <c r="G7" s="61"/>
      <c r="H7" s="44"/>
    </row>
    <row r="8" spans="1:8" ht="15.75" x14ac:dyDescent="0.2">
      <c r="A8" s="43"/>
      <c r="B8" s="62" t="s">
        <v>827</v>
      </c>
      <c r="C8" s="47"/>
      <c r="D8" s="47"/>
      <c r="E8" s="47"/>
      <c r="F8" s="47"/>
      <c r="G8" s="61"/>
      <c r="H8" s="44"/>
    </row>
    <row r="9" spans="1:8" x14ac:dyDescent="0.2">
      <c r="A9" s="43"/>
      <c r="B9" s="46" t="s">
        <v>828</v>
      </c>
      <c r="C9" s="47"/>
      <c r="D9" s="50">
        <v>344</v>
      </c>
      <c r="E9" s="47"/>
      <c r="F9" s="79">
        <v>6573</v>
      </c>
      <c r="G9" s="61"/>
      <c r="H9" s="44"/>
    </row>
    <row r="10" spans="1:8" x14ac:dyDescent="0.2">
      <c r="A10" s="43"/>
      <c r="B10" s="46" t="s">
        <v>829</v>
      </c>
      <c r="C10" s="47"/>
      <c r="D10" s="50"/>
      <c r="E10" s="47"/>
      <c r="F10" s="50"/>
      <c r="G10" s="61"/>
      <c r="H10" s="44"/>
    </row>
    <row r="11" spans="1:8" x14ac:dyDescent="0.2">
      <c r="A11" s="43"/>
      <c r="B11" s="65" t="s">
        <v>830</v>
      </c>
      <c r="C11" s="47"/>
      <c r="D11" s="47"/>
      <c r="E11" s="47"/>
      <c r="F11" s="47"/>
      <c r="G11" s="61"/>
      <c r="H11" s="44"/>
    </row>
    <row r="12" spans="1:8" x14ac:dyDescent="0.2">
      <c r="A12" s="43"/>
      <c r="B12" s="46" t="s">
        <v>831</v>
      </c>
      <c r="C12" s="47"/>
      <c r="D12" s="50">
        <v>90</v>
      </c>
      <c r="E12" s="47"/>
      <c r="F12" s="50">
        <v>1936</v>
      </c>
      <c r="G12" s="61"/>
      <c r="H12" s="44"/>
    </row>
    <row r="13" spans="1:8" x14ac:dyDescent="0.2">
      <c r="A13" s="43"/>
      <c r="B13" s="46" t="s">
        <v>832</v>
      </c>
      <c r="C13" s="47"/>
      <c r="D13" s="50">
        <v>135</v>
      </c>
      <c r="E13" s="47"/>
      <c r="F13" s="50">
        <v>879</v>
      </c>
      <c r="G13" s="61"/>
      <c r="H13" s="44"/>
    </row>
    <row r="14" spans="1:8" x14ac:dyDescent="0.2">
      <c r="A14" s="43"/>
      <c r="B14" s="46" t="s">
        <v>833</v>
      </c>
      <c r="C14" s="47"/>
      <c r="D14" s="50">
        <v>245</v>
      </c>
      <c r="E14" s="47"/>
      <c r="F14" s="50">
        <v>1307</v>
      </c>
      <c r="G14" s="61"/>
      <c r="H14" s="44"/>
    </row>
    <row r="15" spans="1:8" x14ac:dyDescent="0.2">
      <c r="A15" s="43"/>
      <c r="B15" s="46" t="s">
        <v>834</v>
      </c>
      <c r="C15" s="47"/>
      <c r="D15" s="50"/>
      <c r="E15" s="47"/>
      <c r="F15" s="50"/>
      <c r="G15" s="61"/>
      <c r="H15" s="44"/>
    </row>
    <row r="16" spans="1:8" x14ac:dyDescent="0.2">
      <c r="A16" s="43"/>
      <c r="B16" s="46" t="s">
        <v>835</v>
      </c>
      <c r="C16" s="47"/>
      <c r="D16" s="50"/>
      <c r="E16" s="47"/>
      <c r="F16" s="50"/>
      <c r="G16" s="61"/>
      <c r="H16" s="44"/>
    </row>
    <row r="17" spans="1:8" x14ac:dyDescent="0.2">
      <c r="A17" s="43"/>
      <c r="B17" s="46" t="s">
        <v>836</v>
      </c>
      <c r="C17" s="47"/>
      <c r="D17" s="50"/>
      <c r="E17" s="47"/>
      <c r="F17" s="50">
        <v>75</v>
      </c>
      <c r="G17" s="61"/>
      <c r="H17" s="44"/>
    </row>
    <row r="18" spans="1:8" x14ac:dyDescent="0.2">
      <c r="A18" s="43"/>
      <c r="B18" s="46" t="s">
        <v>837</v>
      </c>
      <c r="C18" s="47"/>
      <c r="D18" s="50">
        <v>1544</v>
      </c>
      <c r="E18" s="47"/>
      <c r="F18" s="50">
        <v>3096</v>
      </c>
      <c r="G18" s="61"/>
      <c r="H18" s="44"/>
    </row>
    <row r="19" spans="1:8" x14ac:dyDescent="0.2">
      <c r="A19" s="43"/>
      <c r="B19" s="46" t="s">
        <v>838</v>
      </c>
      <c r="C19" s="47"/>
      <c r="D19" s="50"/>
      <c r="E19" s="47"/>
      <c r="F19" s="50"/>
      <c r="G19" s="61"/>
      <c r="H19" s="44"/>
    </row>
    <row r="20" spans="1:8" x14ac:dyDescent="0.2">
      <c r="A20" s="43"/>
      <c r="B20" s="46" t="s">
        <v>839</v>
      </c>
      <c r="C20" s="47"/>
      <c r="D20" s="50"/>
      <c r="E20" s="47"/>
      <c r="F20" s="50"/>
      <c r="G20" s="61"/>
      <c r="H20" s="44"/>
    </row>
    <row r="21" spans="1:8" x14ac:dyDescent="0.2">
      <c r="A21" s="43"/>
      <c r="B21" s="46" t="s">
        <v>840</v>
      </c>
      <c r="C21" s="47"/>
      <c r="D21" s="50">
        <v>24</v>
      </c>
      <c r="E21" s="47"/>
      <c r="F21" s="50">
        <v>1230</v>
      </c>
      <c r="G21" s="61"/>
      <c r="H21" s="44"/>
    </row>
    <row r="22" spans="1:8" x14ac:dyDescent="0.2">
      <c r="A22" s="43"/>
      <c r="B22" s="46" t="s">
        <v>841</v>
      </c>
      <c r="C22" s="47"/>
      <c r="D22" s="50">
        <v>497</v>
      </c>
      <c r="E22" s="47"/>
      <c r="F22" s="50">
        <v>4015</v>
      </c>
      <c r="G22" s="61"/>
      <c r="H22" s="44"/>
    </row>
    <row r="23" spans="1:8" x14ac:dyDescent="0.2">
      <c r="A23" s="43"/>
      <c r="B23" s="46" t="s">
        <v>842</v>
      </c>
      <c r="C23" s="47"/>
      <c r="D23" s="51">
        <f>SUM(D12:D22)</f>
        <v>2535</v>
      </c>
      <c r="E23" s="47"/>
      <c r="F23" s="51">
        <f>SUM(F12:F22)</f>
        <v>12538</v>
      </c>
      <c r="G23" s="61"/>
      <c r="H23" s="44"/>
    </row>
    <row r="24" spans="1:8" x14ac:dyDescent="0.2">
      <c r="A24" s="43"/>
      <c r="B24" s="46" t="s">
        <v>843</v>
      </c>
      <c r="C24" s="47"/>
      <c r="D24" s="64">
        <v>468</v>
      </c>
      <c r="E24" s="47"/>
      <c r="F24" s="64">
        <v>2030</v>
      </c>
      <c r="G24" s="61"/>
      <c r="H24" s="44"/>
    </row>
    <row r="25" spans="1:8" x14ac:dyDescent="0.2">
      <c r="A25" s="43"/>
      <c r="B25" s="46" t="s">
        <v>844</v>
      </c>
      <c r="C25" s="47"/>
      <c r="D25" s="50">
        <v>2691</v>
      </c>
      <c r="E25" s="47"/>
      <c r="F25" s="50">
        <f>10375-2030-3963</f>
        <v>4382</v>
      </c>
      <c r="G25" s="61"/>
      <c r="H25" s="44"/>
    </row>
    <row r="26" spans="1:8" x14ac:dyDescent="0.2">
      <c r="A26" s="43"/>
      <c r="B26" s="46" t="s">
        <v>861</v>
      </c>
      <c r="C26" s="47"/>
      <c r="D26" s="50">
        <v>1095</v>
      </c>
      <c r="E26" s="47"/>
      <c r="F26" s="50">
        <v>3963</v>
      </c>
      <c r="G26" s="61"/>
      <c r="H26" s="44"/>
    </row>
    <row r="27" spans="1:8" x14ac:dyDescent="0.2">
      <c r="A27" s="43"/>
      <c r="B27" s="66" t="s">
        <v>862</v>
      </c>
      <c r="C27" s="47"/>
      <c r="D27" s="50"/>
      <c r="E27" s="47"/>
      <c r="F27" s="50"/>
      <c r="G27" s="61"/>
      <c r="H27" s="44"/>
    </row>
    <row r="28" spans="1:8" x14ac:dyDescent="0.2">
      <c r="A28" s="43"/>
      <c r="B28" s="66" t="s">
        <v>863</v>
      </c>
      <c r="C28" s="47"/>
      <c r="D28" s="50"/>
      <c r="E28" s="47"/>
      <c r="F28" s="50">
        <v>0</v>
      </c>
      <c r="G28" s="61"/>
      <c r="H28" s="44"/>
    </row>
    <row r="29" spans="1:8" x14ac:dyDescent="0.2">
      <c r="A29" s="43"/>
      <c r="B29" s="66" t="s">
        <v>864</v>
      </c>
      <c r="C29" s="47"/>
      <c r="D29" s="50"/>
      <c r="E29" s="47"/>
      <c r="F29" s="50">
        <v>0</v>
      </c>
      <c r="G29" s="61"/>
      <c r="H29" s="44"/>
    </row>
    <row r="30" spans="1:8" x14ac:dyDescent="0.2">
      <c r="A30" s="43"/>
      <c r="B30" s="46" t="s">
        <v>865</v>
      </c>
      <c r="C30" s="47"/>
      <c r="D30" s="51">
        <f>D9+D10+D23+D24+D25+D26+D27+D28+D29</f>
        <v>7133</v>
      </c>
      <c r="E30" s="47"/>
      <c r="F30" s="51">
        <f>F9+F10+F23+F24+F25+F26+F27+F28+F29</f>
        <v>29486</v>
      </c>
      <c r="G30" s="61"/>
      <c r="H30" s="44"/>
    </row>
    <row r="31" spans="1:8" x14ac:dyDescent="0.2">
      <c r="A31" s="43"/>
      <c r="B31" s="46"/>
      <c r="C31" s="47"/>
      <c r="D31" s="47"/>
      <c r="E31" s="47"/>
      <c r="F31" s="47"/>
      <c r="G31" s="61"/>
      <c r="H31" s="44"/>
    </row>
    <row r="32" spans="1:8" ht="15.75" x14ac:dyDescent="0.2">
      <c r="A32" s="43"/>
      <c r="B32" s="62" t="s">
        <v>866</v>
      </c>
      <c r="C32" s="47"/>
      <c r="D32" s="47"/>
      <c r="E32" s="47"/>
      <c r="F32" s="47"/>
      <c r="G32" s="61"/>
      <c r="H32" s="44"/>
    </row>
    <row r="33" spans="1:8" x14ac:dyDescent="0.2">
      <c r="A33" s="43"/>
      <c r="B33" s="46" t="s">
        <v>867</v>
      </c>
      <c r="C33" s="47"/>
      <c r="D33" s="50">
        <v>13085</v>
      </c>
      <c r="E33" s="47"/>
      <c r="F33" s="50">
        <v>24414</v>
      </c>
      <c r="G33" s="61"/>
      <c r="H33" s="44"/>
    </row>
    <row r="34" spans="1:8" x14ac:dyDescent="0.2">
      <c r="A34" s="43"/>
      <c r="B34" s="46" t="s">
        <v>868</v>
      </c>
      <c r="C34" s="47"/>
      <c r="D34" s="79">
        <f>1968+1731</f>
        <v>3699</v>
      </c>
      <c r="E34" s="47"/>
      <c r="F34" s="50">
        <f>3654+3733</f>
        <v>7387</v>
      </c>
      <c r="G34" s="61"/>
      <c r="H34" s="44"/>
    </row>
    <row r="35" spans="1:8" x14ac:dyDescent="0.2">
      <c r="A35" s="43"/>
      <c r="B35" s="46" t="s">
        <v>869</v>
      </c>
      <c r="C35" s="47"/>
      <c r="D35" s="50"/>
      <c r="E35" s="47"/>
      <c r="F35" s="50"/>
      <c r="G35" s="61"/>
      <c r="H35" s="44"/>
    </row>
    <row r="36" spans="1:8" x14ac:dyDescent="0.2">
      <c r="A36" s="43"/>
      <c r="B36" s="46" t="s">
        <v>870</v>
      </c>
      <c r="C36" s="47"/>
      <c r="D36" s="50"/>
      <c r="E36" s="47"/>
      <c r="F36" s="79"/>
      <c r="G36" s="61"/>
      <c r="H36" s="44"/>
    </row>
    <row r="37" spans="1:8" x14ac:dyDescent="0.2">
      <c r="A37" s="43"/>
      <c r="B37" s="46" t="s">
        <v>871</v>
      </c>
      <c r="C37" s="47"/>
      <c r="D37" s="50"/>
      <c r="E37" s="47"/>
      <c r="F37" s="50">
        <v>451</v>
      </c>
      <c r="G37" s="61"/>
      <c r="H37" s="44"/>
    </row>
    <row r="38" spans="1:8" x14ac:dyDescent="0.2">
      <c r="A38" s="43"/>
      <c r="B38" s="66" t="s">
        <v>872</v>
      </c>
      <c r="C38" s="47"/>
      <c r="D38" s="50"/>
      <c r="E38" s="47"/>
      <c r="F38" s="50"/>
      <c r="G38" s="61"/>
      <c r="H38" s="44"/>
    </row>
    <row r="39" spans="1:8" x14ac:dyDescent="0.2">
      <c r="A39" s="43"/>
      <c r="B39" s="46" t="s">
        <v>873</v>
      </c>
      <c r="C39" s="47"/>
      <c r="D39" s="51">
        <f>SUM(D33:D38)</f>
        <v>16784</v>
      </c>
      <c r="E39" s="47"/>
      <c r="F39" s="51">
        <f>SUM(F33:F38)</f>
        <v>32252</v>
      </c>
      <c r="G39" s="61"/>
      <c r="H39" s="44"/>
    </row>
    <row r="40" spans="1:8" x14ac:dyDescent="0.2">
      <c r="A40" s="43"/>
      <c r="B40" s="46"/>
      <c r="C40" s="47"/>
      <c r="D40" s="47"/>
      <c r="E40" s="47"/>
      <c r="F40" s="47"/>
      <c r="G40" s="61"/>
      <c r="H40" s="44"/>
    </row>
    <row r="41" spans="1:8" ht="13.5" thickBot="1" x14ac:dyDescent="0.25">
      <c r="A41" s="43"/>
      <c r="B41" s="66" t="s">
        <v>619</v>
      </c>
      <c r="C41" s="47"/>
      <c r="D41" s="52">
        <f>D30-D39</f>
        <v>-9651</v>
      </c>
      <c r="E41" s="47"/>
      <c r="F41" s="73">
        <f>F30-F39</f>
        <v>-2766</v>
      </c>
      <c r="G41" s="61"/>
      <c r="H41" s="44"/>
    </row>
    <row r="42" spans="1:8" ht="13.5" thickTop="1" x14ac:dyDescent="0.2">
      <c r="A42" s="43"/>
      <c r="B42" s="46"/>
      <c r="C42" s="47"/>
      <c r="D42" s="47"/>
      <c r="E42" s="47"/>
      <c r="F42" s="47"/>
      <c r="G42" s="61"/>
      <c r="H42" s="44"/>
    </row>
    <row r="43" spans="1:8" x14ac:dyDescent="0.2">
      <c r="A43" s="43"/>
      <c r="B43" s="65" t="s">
        <v>874</v>
      </c>
      <c r="C43" s="47"/>
      <c r="D43" s="47"/>
      <c r="E43" s="47"/>
      <c r="F43" s="47"/>
      <c r="G43" s="61"/>
      <c r="H43" s="44"/>
    </row>
    <row r="44" spans="1:8" x14ac:dyDescent="0.2">
      <c r="A44" s="43"/>
      <c r="B44" s="46" t="s">
        <v>875</v>
      </c>
      <c r="C44" s="47"/>
      <c r="D44" s="50">
        <f>F49</f>
        <v>99995</v>
      </c>
      <c r="E44" s="47"/>
      <c r="F44" s="50">
        <v>84751</v>
      </c>
      <c r="G44" s="61"/>
      <c r="H44" s="44"/>
    </row>
    <row r="45" spans="1:8" x14ac:dyDescent="0.2">
      <c r="A45" s="43"/>
      <c r="B45" s="46" t="s">
        <v>876</v>
      </c>
      <c r="C45" s="47"/>
      <c r="D45" s="50">
        <f>F50</f>
        <v>93851</v>
      </c>
      <c r="E45" s="47"/>
      <c r="F45" s="50">
        <v>75841</v>
      </c>
      <c r="G45" s="61"/>
      <c r="H45" s="44"/>
    </row>
    <row r="46" spans="1:8" ht="13.5" thickBot="1" x14ac:dyDescent="0.25">
      <c r="A46" s="43"/>
      <c r="B46" s="46" t="s">
        <v>877</v>
      </c>
      <c r="C46" s="47"/>
      <c r="D46" s="73">
        <f>D44-D45</f>
        <v>6144</v>
      </c>
      <c r="E46" s="47"/>
      <c r="F46" s="73">
        <f>F44-F45</f>
        <v>8910</v>
      </c>
      <c r="G46" s="61"/>
      <c r="H46" s="44"/>
    </row>
    <row r="47" spans="1:8" ht="13.5" thickTop="1" x14ac:dyDescent="0.2">
      <c r="A47" s="43"/>
      <c r="B47" s="46"/>
      <c r="C47" s="47"/>
      <c r="D47" s="47"/>
      <c r="E47" s="47"/>
      <c r="F47" s="47"/>
      <c r="G47" s="61"/>
      <c r="H47" s="44"/>
    </row>
    <row r="48" spans="1:8" x14ac:dyDescent="0.2">
      <c r="A48" s="43"/>
      <c r="B48" s="65" t="s">
        <v>854</v>
      </c>
      <c r="C48" s="47"/>
      <c r="D48" s="47"/>
      <c r="E48" s="47"/>
      <c r="F48" s="47"/>
      <c r="G48" s="61"/>
      <c r="H48" s="44"/>
    </row>
    <row r="49" spans="1:8" x14ac:dyDescent="0.2">
      <c r="A49" s="43"/>
      <c r="B49" s="66" t="s">
        <v>855</v>
      </c>
      <c r="C49" s="47"/>
      <c r="D49" s="50">
        <f>D44+D30-D57</f>
        <v>107128</v>
      </c>
      <c r="E49" s="47"/>
      <c r="F49" s="50">
        <v>99995</v>
      </c>
      <c r="G49" s="61"/>
      <c r="H49" s="44"/>
    </row>
    <row r="50" spans="1:8" x14ac:dyDescent="0.2">
      <c r="A50" s="43"/>
      <c r="B50" s="66" t="s">
        <v>856</v>
      </c>
      <c r="C50" s="47"/>
      <c r="D50" s="50">
        <f>D39+D45-D58</f>
        <v>110635</v>
      </c>
      <c r="E50" s="47"/>
      <c r="F50" s="50">
        <v>93851</v>
      </c>
      <c r="G50" s="61"/>
      <c r="H50" s="44"/>
    </row>
    <row r="51" spans="1:8" ht="13.5" thickBot="1" x14ac:dyDescent="0.25">
      <c r="A51" s="43"/>
      <c r="B51" s="46" t="s">
        <v>878</v>
      </c>
      <c r="C51" s="47"/>
      <c r="D51" s="73">
        <f>D49-D50</f>
        <v>-3507</v>
      </c>
      <c r="E51" s="47"/>
      <c r="F51" s="73">
        <f>F49-F50</f>
        <v>6144</v>
      </c>
      <c r="G51" s="61"/>
      <c r="H51" s="44"/>
    </row>
    <row r="52" spans="1:8" ht="13.5" thickTop="1" x14ac:dyDescent="0.2">
      <c r="A52" s="43"/>
      <c r="B52" s="65" t="s">
        <v>879</v>
      </c>
      <c r="C52" s="47"/>
      <c r="D52" s="47"/>
      <c r="E52" s="47"/>
      <c r="F52" s="47"/>
      <c r="G52" s="61"/>
      <c r="H52" s="44"/>
    </row>
    <row r="53" spans="1:8" x14ac:dyDescent="0.2">
      <c r="A53" s="43"/>
      <c r="B53" s="46" t="s">
        <v>641</v>
      </c>
      <c r="C53" s="47"/>
      <c r="D53" s="50">
        <v>13834</v>
      </c>
      <c r="E53" s="47"/>
      <c r="F53" s="50">
        <v>40272</v>
      </c>
      <c r="G53" s="61"/>
      <c r="H53" s="44"/>
    </row>
    <row r="54" spans="1:8" x14ac:dyDescent="0.2">
      <c r="A54" s="43"/>
      <c r="B54" s="46" t="s">
        <v>640</v>
      </c>
      <c r="C54" s="47"/>
      <c r="D54" s="50">
        <v>17341</v>
      </c>
      <c r="E54" s="47"/>
      <c r="F54" s="50">
        <v>34128</v>
      </c>
      <c r="G54" s="61"/>
      <c r="H54" s="44"/>
    </row>
    <row r="55" spans="1:8" ht="13.5" thickBot="1" x14ac:dyDescent="0.25">
      <c r="A55" s="43"/>
      <c r="B55" s="46" t="s">
        <v>878</v>
      </c>
      <c r="C55" s="47"/>
      <c r="D55" s="73">
        <f>D53-D54</f>
        <v>-3507</v>
      </c>
      <c r="E55" s="47"/>
      <c r="F55" s="73">
        <f>F53-F54</f>
        <v>6144</v>
      </c>
      <c r="G55" s="61"/>
      <c r="H55" s="44"/>
    </row>
    <row r="56" spans="1:8" ht="20.25" customHeight="1" thickTop="1" x14ac:dyDescent="0.2">
      <c r="A56" s="43"/>
      <c r="B56" s="222" t="s">
        <v>880</v>
      </c>
      <c r="C56" s="47"/>
      <c r="D56" s="47"/>
      <c r="E56" s="47"/>
      <c r="F56" s="47"/>
      <c r="G56" s="61"/>
      <c r="H56" s="44"/>
    </row>
    <row r="57" spans="1:8" x14ac:dyDescent="0.2">
      <c r="A57" s="43"/>
      <c r="B57" s="46" t="s">
        <v>881</v>
      </c>
      <c r="C57" s="47"/>
      <c r="D57" s="50"/>
      <c r="E57" s="47"/>
      <c r="F57" s="50">
        <v>14242</v>
      </c>
      <c r="G57" s="61"/>
      <c r="H57" s="44"/>
    </row>
    <row r="58" spans="1:8" x14ac:dyDescent="0.2">
      <c r="A58" s="43"/>
      <c r="B58" s="46" t="s">
        <v>882</v>
      </c>
      <c r="C58" s="47"/>
      <c r="D58" s="50"/>
      <c r="E58" s="47"/>
      <c r="F58" s="50">
        <v>14242</v>
      </c>
      <c r="G58" s="61"/>
      <c r="H58" s="44"/>
    </row>
    <row r="59" spans="1:8" hidden="1" x14ac:dyDescent="0.2">
      <c r="A59" s="43"/>
      <c r="B59" s="46"/>
      <c r="C59" s="47"/>
      <c r="D59" s="149"/>
      <c r="E59" s="149"/>
      <c r="F59" s="149"/>
      <c r="G59" s="61"/>
      <c r="H59" s="44"/>
    </row>
    <row r="60" spans="1:8" hidden="1" x14ac:dyDescent="0.2">
      <c r="A60" s="43"/>
      <c r="B60" s="46"/>
      <c r="C60" s="47"/>
      <c r="D60" s="223" t="s">
        <v>883</v>
      </c>
      <c r="E60" s="223"/>
      <c r="F60" s="223" t="s">
        <v>884</v>
      </c>
      <c r="G60" s="61"/>
      <c r="H60" s="44" t="s">
        <v>885</v>
      </c>
    </row>
    <row r="61" spans="1:8" hidden="1" x14ac:dyDescent="0.2">
      <c r="A61" s="43"/>
      <c r="B61" s="46"/>
      <c r="C61" s="47"/>
      <c r="D61" s="223" t="s">
        <v>883</v>
      </c>
      <c r="E61" s="223"/>
      <c r="F61" s="223" t="s">
        <v>886</v>
      </c>
      <c r="G61" s="61"/>
      <c r="H61" s="44" t="s">
        <v>887</v>
      </c>
    </row>
    <row r="62" spans="1:8" hidden="1" x14ac:dyDescent="0.2">
      <c r="A62" s="43"/>
      <c r="B62" s="46">
        <v>3</v>
      </c>
      <c r="C62" s="47"/>
      <c r="D62" s="223" t="s">
        <v>888</v>
      </c>
      <c r="E62" s="223"/>
      <c r="F62" s="223" t="s">
        <v>889</v>
      </c>
      <c r="G62" s="61"/>
      <c r="H62" s="44" t="s">
        <v>890</v>
      </c>
    </row>
    <row r="63" spans="1:8" hidden="1" x14ac:dyDescent="0.2">
      <c r="A63" s="43"/>
      <c r="B63" s="46">
        <v>4</v>
      </c>
      <c r="C63" s="47"/>
      <c r="D63" s="223" t="s">
        <v>888</v>
      </c>
      <c r="E63" s="223"/>
      <c r="F63" s="223" t="s">
        <v>891</v>
      </c>
      <c r="G63" s="61"/>
      <c r="H63" s="44" t="s">
        <v>892</v>
      </c>
    </row>
    <row r="64" spans="1:8" hidden="1" x14ac:dyDescent="0.2">
      <c r="A64" s="43"/>
      <c r="B64" s="46">
        <v>3</v>
      </c>
      <c r="C64" s="47"/>
      <c r="D64" s="223" t="s">
        <v>888</v>
      </c>
      <c r="E64" s="223"/>
      <c r="F64" s="223" t="s">
        <v>893</v>
      </c>
      <c r="G64" s="61"/>
      <c r="H64" s="44" t="s">
        <v>894</v>
      </c>
    </row>
    <row r="65" spans="1:8" hidden="1" x14ac:dyDescent="0.2">
      <c r="A65" s="43"/>
      <c r="B65" s="46">
        <v>3</v>
      </c>
      <c r="C65" s="47"/>
      <c r="D65" s="223" t="s">
        <v>888</v>
      </c>
      <c r="E65" s="223"/>
      <c r="F65" s="223" t="s">
        <v>895</v>
      </c>
      <c r="G65" s="61"/>
      <c r="H65" s="44" t="s">
        <v>896</v>
      </c>
    </row>
    <row r="66" spans="1:8" hidden="1" x14ac:dyDescent="0.2">
      <c r="A66" s="43"/>
      <c r="B66" s="46"/>
      <c r="C66" s="47"/>
      <c r="D66" s="223" t="s">
        <v>888</v>
      </c>
      <c r="E66" s="223"/>
      <c r="F66" s="223" t="s">
        <v>897</v>
      </c>
      <c r="G66" s="61"/>
      <c r="H66" s="44" t="s">
        <v>898</v>
      </c>
    </row>
    <row r="67" spans="1:8" hidden="1" x14ac:dyDescent="0.2">
      <c r="A67" s="43"/>
      <c r="B67" s="46"/>
      <c r="C67" s="47"/>
      <c r="D67" s="223" t="s">
        <v>888</v>
      </c>
      <c r="E67" s="223"/>
      <c r="F67" s="223" t="s">
        <v>899</v>
      </c>
      <c r="G67" s="61"/>
      <c r="H67" s="44" t="s">
        <v>900</v>
      </c>
    </row>
    <row r="68" spans="1:8" hidden="1" x14ac:dyDescent="0.2">
      <c r="A68" s="43"/>
      <c r="B68" s="46"/>
      <c r="C68" s="47"/>
      <c r="D68" s="223" t="s">
        <v>888</v>
      </c>
      <c r="E68" s="223"/>
      <c r="F68" s="223" t="s">
        <v>901</v>
      </c>
      <c r="G68" s="61"/>
      <c r="H68" s="44" t="s">
        <v>902</v>
      </c>
    </row>
    <row r="69" spans="1:8" hidden="1" x14ac:dyDescent="0.2">
      <c r="A69" s="43"/>
      <c r="B69" s="46"/>
      <c r="C69" s="47"/>
      <c r="D69" s="223" t="s">
        <v>888</v>
      </c>
      <c r="E69" s="223"/>
      <c r="F69" s="223" t="s">
        <v>901</v>
      </c>
      <c r="G69" s="61"/>
      <c r="H69" s="44" t="s">
        <v>903</v>
      </c>
    </row>
    <row r="70" spans="1:8" x14ac:dyDescent="0.2">
      <c r="A70" s="43"/>
      <c r="B70" s="53"/>
      <c r="C70" s="54"/>
      <c r="D70" s="54"/>
      <c r="E70" s="54"/>
      <c r="F70" s="54"/>
      <c r="G70" s="80"/>
      <c r="H70" s="44"/>
    </row>
    <row r="71" spans="1:8" x14ac:dyDescent="0.2">
      <c r="A71" s="43"/>
      <c r="B71" s="43"/>
      <c r="C71" s="43"/>
      <c r="D71" s="43"/>
      <c r="E71" s="43"/>
      <c r="F71" s="43"/>
      <c r="G71" s="43"/>
      <c r="H71" s="44"/>
    </row>
    <row r="72" spans="1:8" ht="13.5" thickBot="1" x14ac:dyDescent="0.25">
      <c r="A72" s="56"/>
      <c r="B72" s="56"/>
      <c r="C72" s="56"/>
      <c r="D72" s="56"/>
      <c r="E72" s="56"/>
      <c r="F72" s="56"/>
      <c r="G72" s="56"/>
      <c r="H72" s="57"/>
    </row>
    <row r="73" spans="1:8" ht="13.5" thickTop="1" x14ac:dyDescent="0.2"/>
    <row r="110" ht="3" customHeight="1" x14ac:dyDescent="0.2"/>
    <row r="303" spans="2:9" ht="18" x14ac:dyDescent="0.2">
      <c r="B303" s="632" t="str">
        <f>C1</f>
        <v>מ"א עמק הירדן</v>
      </c>
      <c r="C303" s="632"/>
      <c r="D303" s="632"/>
      <c r="E303" s="632"/>
      <c r="F303" s="632"/>
    </row>
    <row r="304" spans="2:9" ht="18" x14ac:dyDescent="0.2">
      <c r="B304" s="632" t="str">
        <f>C2</f>
        <v>ריכוז תקבולים ותשלומים של תב"רים באלפי ₪</v>
      </c>
      <c r="C304" s="632"/>
      <c r="D304" s="632"/>
      <c r="E304" s="632"/>
      <c r="F304" s="632"/>
      <c r="G304" s="224"/>
      <c r="H304" s="224"/>
      <c r="I304" s="224"/>
    </row>
    <row r="305" spans="2:7" ht="18" x14ac:dyDescent="0.2">
      <c r="B305" s="632" t="str">
        <f>C3</f>
        <v>לתקופה: רבעון 1, שנת 2017</v>
      </c>
      <c r="C305" s="632"/>
      <c r="D305" s="632"/>
      <c r="E305" s="632"/>
      <c r="F305" s="632"/>
    </row>
    <row r="308" spans="2:7" x14ac:dyDescent="0.2">
      <c r="B308" s="156">
        <f t="shared" ref="B308:B325" si="0">B6</f>
        <v>0</v>
      </c>
      <c r="C308" s="156"/>
      <c r="D308" s="156" t="str">
        <f t="shared" ref="D308:G323" si="1">D6</f>
        <v>תקופת הדוח</v>
      </c>
      <c r="E308" s="156">
        <f t="shared" si="1"/>
        <v>0</v>
      </c>
      <c r="F308" s="156" t="str">
        <f t="shared" si="1"/>
        <v>שנה קודמת</v>
      </c>
      <c r="G308" s="156">
        <f t="shared" si="1"/>
        <v>0</v>
      </c>
    </row>
    <row r="309" spans="2:7" x14ac:dyDescent="0.2">
      <c r="B309" s="159">
        <f t="shared" si="0"/>
        <v>0</v>
      </c>
      <c r="C309" s="158"/>
      <c r="D309" s="158">
        <f t="shared" si="1"/>
        <v>0</v>
      </c>
      <c r="E309" s="158">
        <f t="shared" si="1"/>
        <v>0</v>
      </c>
      <c r="F309" s="158">
        <f t="shared" si="1"/>
        <v>0</v>
      </c>
      <c r="G309" s="157">
        <f t="shared" si="1"/>
        <v>0</v>
      </c>
    </row>
    <row r="310" spans="2:7" ht="15.75" x14ac:dyDescent="0.2">
      <c r="B310" s="225" t="str">
        <f t="shared" si="0"/>
        <v>תקבולים בתקופת הדוח</v>
      </c>
      <c r="C310" s="158"/>
      <c r="D310" s="158">
        <f t="shared" si="1"/>
        <v>0</v>
      </c>
      <c r="E310" s="158">
        <f t="shared" si="1"/>
        <v>0</v>
      </c>
      <c r="F310" s="158">
        <f t="shared" si="1"/>
        <v>0</v>
      </c>
      <c r="G310" s="157">
        <f t="shared" si="1"/>
        <v>0</v>
      </c>
    </row>
    <row r="311" spans="2:7" x14ac:dyDescent="0.2">
      <c r="B311" s="159" t="str">
        <f t="shared" si="0"/>
        <v>מלוות מהאוצר</v>
      </c>
      <c r="C311" s="158"/>
      <c r="D311" s="226">
        <f t="shared" si="1"/>
        <v>344</v>
      </c>
      <c r="E311" s="158">
        <f t="shared" si="1"/>
        <v>0</v>
      </c>
      <c r="F311" s="226">
        <f t="shared" si="1"/>
        <v>6573</v>
      </c>
      <c r="G311" s="157">
        <f t="shared" si="1"/>
        <v>0</v>
      </c>
    </row>
    <row r="312" spans="2:7" x14ac:dyDescent="0.2">
      <c r="B312" s="159" t="str">
        <f t="shared" si="0"/>
        <v>מלוות מאחרים</v>
      </c>
      <c r="C312" s="158"/>
      <c r="D312" s="227">
        <f t="shared" si="1"/>
        <v>0</v>
      </c>
      <c r="E312" s="158">
        <f t="shared" si="1"/>
        <v>0</v>
      </c>
      <c r="F312" s="227">
        <f t="shared" si="1"/>
        <v>0</v>
      </c>
      <c r="G312" s="157">
        <f t="shared" si="1"/>
        <v>0</v>
      </c>
    </row>
    <row r="313" spans="2:7" ht="18" customHeight="1" x14ac:dyDescent="0.2">
      <c r="B313" s="161" t="str">
        <f t="shared" si="0"/>
        <v>השתתפות משרדי ממשלה</v>
      </c>
      <c r="C313" s="158"/>
      <c r="D313" s="134">
        <f t="shared" si="1"/>
        <v>0</v>
      </c>
      <c r="E313" s="158">
        <f t="shared" si="1"/>
        <v>0</v>
      </c>
      <c r="F313" s="134">
        <f t="shared" si="1"/>
        <v>0</v>
      </c>
      <c r="G313" s="157">
        <f t="shared" si="1"/>
        <v>0</v>
      </c>
    </row>
    <row r="314" spans="2:7" x14ac:dyDescent="0.2">
      <c r="B314" s="159" t="str">
        <f t="shared" si="0"/>
        <v>משרד הפנים</v>
      </c>
      <c r="C314" s="158"/>
      <c r="D314" s="226">
        <f t="shared" si="1"/>
        <v>90</v>
      </c>
      <c r="E314" s="158">
        <f t="shared" si="1"/>
        <v>0</v>
      </c>
      <c r="F314" s="226">
        <f t="shared" si="1"/>
        <v>1936</v>
      </c>
      <c r="G314" s="157">
        <f t="shared" si="1"/>
        <v>0</v>
      </c>
    </row>
    <row r="315" spans="2:7" x14ac:dyDescent="0.2">
      <c r="B315" s="159" t="str">
        <f t="shared" si="0"/>
        <v>משרד הבטחון</v>
      </c>
      <c r="C315" s="158"/>
      <c r="D315" s="140">
        <f t="shared" si="1"/>
        <v>135</v>
      </c>
      <c r="E315" s="158">
        <f t="shared" si="1"/>
        <v>0</v>
      </c>
      <c r="F315" s="140">
        <f t="shared" si="1"/>
        <v>879</v>
      </c>
      <c r="G315" s="157">
        <f t="shared" si="1"/>
        <v>0</v>
      </c>
    </row>
    <row r="316" spans="2:7" x14ac:dyDescent="0.2">
      <c r="B316" s="159" t="str">
        <f t="shared" si="0"/>
        <v>משרד החינוך</v>
      </c>
      <c r="C316" s="158"/>
      <c r="D316" s="140">
        <f t="shared" si="1"/>
        <v>245</v>
      </c>
      <c r="E316" s="158">
        <f t="shared" si="1"/>
        <v>0</v>
      </c>
      <c r="F316" s="140">
        <f t="shared" si="1"/>
        <v>1307</v>
      </c>
      <c r="G316" s="157">
        <f t="shared" si="1"/>
        <v>0</v>
      </c>
    </row>
    <row r="317" spans="2:7" x14ac:dyDescent="0.2">
      <c r="B317" s="159" t="str">
        <f t="shared" si="0"/>
        <v>משרד הדתות</v>
      </c>
      <c r="C317" s="158"/>
      <c r="D317" s="140">
        <f t="shared" si="1"/>
        <v>0</v>
      </c>
      <c r="E317" s="158">
        <f t="shared" si="1"/>
        <v>0</v>
      </c>
      <c r="F317" s="140">
        <f t="shared" si="1"/>
        <v>0</v>
      </c>
      <c r="G317" s="157">
        <f t="shared" si="1"/>
        <v>0</v>
      </c>
    </row>
    <row r="318" spans="2:7" x14ac:dyDescent="0.2">
      <c r="B318" s="159" t="str">
        <f t="shared" si="0"/>
        <v>משרד העבודה והרווחה</v>
      </c>
      <c r="C318" s="158"/>
      <c r="D318" s="140">
        <f t="shared" si="1"/>
        <v>0</v>
      </c>
      <c r="E318" s="158">
        <f t="shared" si="1"/>
        <v>0</v>
      </c>
      <c r="F318" s="140">
        <f t="shared" si="1"/>
        <v>0</v>
      </c>
      <c r="G318" s="157">
        <f t="shared" si="1"/>
        <v>0</v>
      </c>
    </row>
    <row r="319" spans="2:7" x14ac:dyDescent="0.2">
      <c r="B319" s="159" t="str">
        <f t="shared" si="0"/>
        <v>משרד איכות הסביבה</v>
      </c>
      <c r="C319" s="158"/>
      <c r="D319" s="140">
        <f t="shared" si="1"/>
        <v>0</v>
      </c>
      <c r="E319" s="158">
        <f t="shared" si="1"/>
        <v>0</v>
      </c>
      <c r="F319" s="140">
        <f t="shared" si="1"/>
        <v>75</v>
      </c>
      <c r="G319" s="157">
        <f t="shared" si="1"/>
        <v>0</v>
      </c>
    </row>
    <row r="320" spans="2:7" x14ac:dyDescent="0.2">
      <c r="B320" s="159" t="str">
        <f t="shared" si="0"/>
        <v>משרד הבינוי והשיכון</v>
      </c>
      <c r="C320" s="158"/>
      <c r="D320" s="140">
        <f t="shared" si="1"/>
        <v>1544</v>
      </c>
      <c r="E320" s="158">
        <f t="shared" si="1"/>
        <v>0</v>
      </c>
      <c r="F320" s="140">
        <f t="shared" si="1"/>
        <v>3096</v>
      </c>
      <c r="G320" s="157">
        <f t="shared" si="1"/>
        <v>0</v>
      </c>
    </row>
    <row r="321" spans="2:7" x14ac:dyDescent="0.2">
      <c r="B321" s="159" t="str">
        <f t="shared" si="0"/>
        <v>משרד התשתיות</v>
      </c>
      <c r="C321" s="158"/>
      <c r="D321" s="140">
        <f t="shared" si="1"/>
        <v>0</v>
      </c>
      <c r="E321" s="158">
        <f t="shared" si="1"/>
        <v>0</v>
      </c>
      <c r="F321" s="140">
        <f t="shared" si="1"/>
        <v>0</v>
      </c>
      <c r="G321" s="157">
        <f t="shared" si="1"/>
        <v>0</v>
      </c>
    </row>
    <row r="322" spans="2:7" x14ac:dyDescent="0.2">
      <c r="B322" s="159" t="str">
        <f t="shared" si="0"/>
        <v>משרד התיירות</v>
      </c>
      <c r="C322" s="158"/>
      <c r="D322" s="140">
        <f t="shared" si="1"/>
        <v>0</v>
      </c>
      <c r="E322" s="158">
        <f t="shared" si="1"/>
        <v>0</v>
      </c>
      <c r="F322" s="140">
        <f t="shared" si="1"/>
        <v>0</v>
      </c>
      <c r="G322" s="157">
        <f t="shared" si="1"/>
        <v>0</v>
      </c>
    </row>
    <row r="323" spans="2:7" x14ac:dyDescent="0.2">
      <c r="B323" s="159" t="str">
        <f t="shared" si="0"/>
        <v>משרד התחבורה</v>
      </c>
      <c r="C323" s="158"/>
      <c r="D323" s="140">
        <f t="shared" si="1"/>
        <v>24</v>
      </c>
      <c r="E323" s="158">
        <f t="shared" si="1"/>
        <v>0</v>
      </c>
      <c r="F323" s="140">
        <f t="shared" si="1"/>
        <v>1230</v>
      </c>
      <c r="G323" s="157">
        <f t="shared" si="1"/>
        <v>0</v>
      </c>
    </row>
    <row r="324" spans="2:7" x14ac:dyDescent="0.2">
      <c r="B324" s="159" t="str">
        <f t="shared" si="0"/>
        <v>משרדים אחרים</v>
      </c>
      <c r="C324" s="158"/>
      <c r="D324" s="140">
        <f t="shared" ref="D324:G325" si="2">D22</f>
        <v>497</v>
      </c>
      <c r="E324" s="158">
        <f t="shared" si="2"/>
        <v>0</v>
      </c>
      <c r="F324" s="140">
        <f t="shared" si="2"/>
        <v>4015</v>
      </c>
      <c r="G324" s="157">
        <f t="shared" si="2"/>
        <v>0</v>
      </c>
    </row>
    <row r="325" spans="2:7" x14ac:dyDescent="0.2">
      <c r="B325" s="159" t="str">
        <f t="shared" si="0"/>
        <v>סה"כ השתתפות משרדי ממשלה</v>
      </c>
      <c r="C325" s="158"/>
      <c r="D325" s="144">
        <f t="shared" si="2"/>
        <v>2535</v>
      </c>
      <c r="E325" s="158">
        <f t="shared" si="2"/>
        <v>0</v>
      </c>
      <c r="F325" s="144">
        <f t="shared" si="2"/>
        <v>12538</v>
      </c>
      <c r="G325" s="157">
        <f t="shared" si="2"/>
        <v>0</v>
      </c>
    </row>
    <row r="326" spans="2:7" ht="17.25" customHeight="1" x14ac:dyDescent="0.2">
      <c r="B326" s="161" t="s">
        <v>853</v>
      </c>
      <c r="C326" s="158"/>
      <c r="D326" s="532"/>
      <c r="E326" s="158"/>
      <c r="F326" s="532"/>
      <c r="G326" s="157"/>
    </row>
    <row r="327" spans="2:7" x14ac:dyDescent="0.2">
      <c r="B327" s="159" t="str">
        <f t="shared" ref="B327:B362" si="3">B24</f>
        <v>השתתפות בעלים</v>
      </c>
      <c r="C327" s="158"/>
      <c r="D327" s="137">
        <f t="shared" ref="D327:G329" si="4">D24</f>
        <v>468</v>
      </c>
      <c r="E327" s="158">
        <f t="shared" si="4"/>
        <v>0</v>
      </c>
      <c r="F327" s="137">
        <f t="shared" si="4"/>
        <v>2030</v>
      </c>
      <c r="G327" s="157">
        <f t="shared" si="4"/>
        <v>0</v>
      </c>
    </row>
    <row r="328" spans="2:7" x14ac:dyDescent="0.2">
      <c r="B328" s="159" t="str">
        <f t="shared" si="3"/>
        <v>מקורות אחרים</v>
      </c>
      <c r="C328" s="158"/>
      <c r="D328" s="140">
        <f t="shared" si="4"/>
        <v>2691</v>
      </c>
      <c r="E328" s="158">
        <f t="shared" si="4"/>
        <v>0</v>
      </c>
      <c r="F328" s="140">
        <f t="shared" si="4"/>
        <v>4382</v>
      </c>
      <c r="G328" s="157">
        <f t="shared" si="4"/>
        <v>0</v>
      </c>
    </row>
    <row r="329" spans="2:7" x14ac:dyDescent="0.2">
      <c r="B329" s="159" t="str">
        <f t="shared" si="3"/>
        <v>העברה מקרנות הרשות</v>
      </c>
      <c r="C329" s="158"/>
      <c r="D329" s="140">
        <f t="shared" si="4"/>
        <v>1095</v>
      </c>
      <c r="E329" s="158">
        <f t="shared" si="4"/>
        <v>0</v>
      </c>
      <c r="F329" s="140">
        <f t="shared" si="4"/>
        <v>3963</v>
      </c>
      <c r="G329" s="157">
        <f t="shared" si="4"/>
        <v>0</v>
      </c>
    </row>
    <row r="330" spans="2:7" x14ac:dyDescent="0.2">
      <c r="B330" s="159" t="str">
        <f t="shared" si="3"/>
        <v>השתתפות תקציב רגיל</v>
      </c>
      <c r="C330" s="158"/>
      <c r="D330" s="140">
        <f t="shared" ref="D330:F340" si="5">D27</f>
        <v>0</v>
      </c>
      <c r="E330" s="158">
        <f t="shared" si="5"/>
        <v>0</v>
      </c>
      <c r="F330" s="140">
        <f t="shared" si="5"/>
        <v>0</v>
      </c>
      <c r="G330" s="157"/>
    </row>
    <row r="331" spans="2:7" x14ac:dyDescent="0.2">
      <c r="B331" s="159" t="str">
        <f t="shared" si="3"/>
        <v>השתתפות תבר"ים אחרים</v>
      </c>
      <c r="C331" s="158"/>
      <c r="D331" s="140">
        <f t="shared" si="5"/>
        <v>0</v>
      </c>
      <c r="E331" s="158">
        <f t="shared" si="5"/>
        <v>0</v>
      </c>
      <c r="F331" s="140">
        <f t="shared" si="5"/>
        <v>0</v>
      </c>
      <c r="G331" s="157"/>
    </row>
    <row r="332" spans="2:7" x14ac:dyDescent="0.2">
      <c r="B332" s="159" t="str">
        <f t="shared" si="3"/>
        <v>סגירת גרעונות סופיים בתב"רים</v>
      </c>
      <c r="C332" s="158"/>
      <c r="D332" s="140">
        <f t="shared" si="5"/>
        <v>0</v>
      </c>
      <c r="E332" s="158">
        <f t="shared" si="5"/>
        <v>0</v>
      </c>
      <c r="F332" s="140">
        <f t="shared" si="5"/>
        <v>0</v>
      </c>
      <c r="G332" s="157"/>
    </row>
    <row r="333" spans="2:7" x14ac:dyDescent="0.2">
      <c r="B333" s="159" t="str">
        <f t="shared" si="3"/>
        <v>סה"כ תקבולים</v>
      </c>
      <c r="C333" s="158"/>
      <c r="D333" s="144">
        <f t="shared" si="5"/>
        <v>7133</v>
      </c>
      <c r="E333" s="158">
        <f t="shared" si="5"/>
        <v>0</v>
      </c>
      <c r="F333" s="144">
        <f t="shared" si="5"/>
        <v>29486</v>
      </c>
      <c r="G333" s="157">
        <f t="shared" ref="G333:G340" si="6">G30</f>
        <v>0</v>
      </c>
    </row>
    <row r="334" spans="2:7" x14ac:dyDescent="0.2">
      <c r="B334" s="159">
        <f t="shared" si="3"/>
        <v>0</v>
      </c>
      <c r="C334" s="158"/>
      <c r="D334" s="134">
        <f t="shared" si="5"/>
        <v>0</v>
      </c>
      <c r="E334" s="158">
        <f t="shared" si="5"/>
        <v>0</v>
      </c>
      <c r="F334" s="134">
        <f t="shared" si="5"/>
        <v>0</v>
      </c>
      <c r="G334" s="157">
        <f t="shared" si="6"/>
        <v>0</v>
      </c>
    </row>
    <row r="335" spans="2:7" ht="15.75" x14ac:dyDescent="0.2">
      <c r="B335" s="225" t="str">
        <f t="shared" si="3"/>
        <v>תשלומים בתקופת הדוח</v>
      </c>
      <c r="C335" s="158"/>
      <c r="D335" s="134">
        <f t="shared" si="5"/>
        <v>0</v>
      </c>
      <c r="E335" s="158">
        <f t="shared" si="5"/>
        <v>0</v>
      </c>
      <c r="F335" s="134">
        <f t="shared" si="5"/>
        <v>0</v>
      </c>
      <c r="G335" s="157">
        <f t="shared" si="6"/>
        <v>0</v>
      </c>
    </row>
    <row r="336" spans="2:7" x14ac:dyDescent="0.2">
      <c r="B336" s="159" t="str">
        <f t="shared" si="3"/>
        <v>עבודות שבוצעו במשך השנה</v>
      </c>
      <c r="C336" s="158"/>
      <c r="D336" s="137">
        <f t="shared" si="5"/>
        <v>13085</v>
      </c>
      <c r="E336" s="158">
        <f t="shared" si="5"/>
        <v>0</v>
      </c>
      <c r="F336" s="137">
        <f t="shared" si="5"/>
        <v>24414</v>
      </c>
      <c r="G336" s="157">
        <f t="shared" si="6"/>
        <v>0</v>
      </c>
    </row>
    <row r="337" spans="2:7" x14ac:dyDescent="0.2">
      <c r="B337" s="159" t="str">
        <f t="shared" si="3"/>
        <v>הוצאות אחרות (תכנון, ציוד וכד')</v>
      </c>
      <c r="C337" s="158"/>
      <c r="D337" s="140">
        <f t="shared" si="5"/>
        <v>3699</v>
      </c>
      <c r="E337" s="158">
        <f t="shared" si="5"/>
        <v>0</v>
      </c>
      <c r="F337" s="140">
        <f t="shared" si="5"/>
        <v>7387</v>
      </c>
      <c r="G337" s="157">
        <f t="shared" si="6"/>
        <v>0</v>
      </c>
    </row>
    <row r="338" spans="2:7" x14ac:dyDescent="0.2">
      <c r="B338" s="159" t="str">
        <f t="shared" si="3"/>
        <v>העברת מלוות שנתקבלו לתקציב הרגיל</v>
      </c>
      <c r="C338" s="158"/>
      <c r="D338" s="140">
        <f t="shared" si="5"/>
        <v>0</v>
      </c>
      <c r="E338" s="158">
        <f t="shared" si="5"/>
        <v>0</v>
      </c>
      <c r="F338" s="140">
        <f t="shared" si="5"/>
        <v>0</v>
      </c>
      <c r="G338" s="157">
        <f t="shared" si="6"/>
        <v>0</v>
      </c>
    </row>
    <row r="339" spans="2:7" x14ac:dyDescent="0.2">
      <c r="B339" s="159" t="str">
        <f t="shared" si="3"/>
        <v>העברת מלוות שנתקבלו להקטנת הגרעון</v>
      </c>
      <c r="C339" s="158"/>
      <c r="D339" s="140">
        <f t="shared" si="5"/>
        <v>0</v>
      </c>
      <c r="E339" s="158">
        <f t="shared" si="5"/>
        <v>0</v>
      </c>
      <c r="F339" s="140">
        <f t="shared" si="5"/>
        <v>0</v>
      </c>
      <c r="G339" s="157">
        <f t="shared" si="6"/>
        <v>0</v>
      </c>
    </row>
    <row r="340" spans="2:7" x14ac:dyDescent="0.2">
      <c r="B340" s="159" t="str">
        <f t="shared" si="3"/>
        <v>העברה לקרנות פיתוח</v>
      </c>
      <c r="C340" s="158"/>
      <c r="D340" s="140">
        <f t="shared" si="5"/>
        <v>0</v>
      </c>
      <c r="E340" s="158">
        <f t="shared" si="5"/>
        <v>0</v>
      </c>
      <c r="F340" s="140">
        <f t="shared" si="5"/>
        <v>451</v>
      </c>
      <c r="G340" s="157">
        <f t="shared" si="6"/>
        <v>0</v>
      </c>
    </row>
    <row r="341" spans="2:7" x14ac:dyDescent="0.2">
      <c r="B341" s="159" t="str">
        <f t="shared" si="3"/>
        <v>העברת עודפים לתבר"ים אחרים</v>
      </c>
      <c r="C341" s="158"/>
      <c r="D341" s="140">
        <f t="shared" ref="D341:G356" si="7">D38</f>
        <v>0</v>
      </c>
      <c r="E341" s="158">
        <f t="shared" si="7"/>
        <v>0</v>
      </c>
      <c r="F341" s="140">
        <f t="shared" si="7"/>
        <v>0</v>
      </c>
      <c r="G341" s="157"/>
    </row>
    <row r="342" spans="2:7" x14ac:dyDescent="0.2">
      <c r="B342" s="159" t="str">
        <f t="shared" si="3"/>
        <v>סה"כ תשלומים</v>
      </c>
      <c r="C342" s="158"/>
      <c r="D342" s="144">
        <f t="shared" si="7"/>
        <v>16784</v>
      </c>
      <c r="E342" s="158">
        <f t="shared" si="7"/>
        <v>0</v>
      </c>
      <c r="F342" s="144">
        <f t="shared" si="7"/>
        <v>32252</v>
      </c>
      <c r="G342" s="157">
        <f t="shared" si="7"/>
        <v>0</v>
      </c>
    </row>
    <row r="343" spans="2:7" x14ac:dyDescent="0.2">
      <c r="B343" s="159">
        <f t="shared" si="3"/>
        <v>0</v>
      </c>
      <c r="C343" s="158"/>
      <c r="D343" s="134">
        <f t="shared" si="7"/>
        <v>0</v>
      </c>
      <c r="E343" s="158">
        <f t="shared" si="7"/>
        <v>0</v>
      </c>
      <c r="F343" s="134">
        <f t="shared" si="7"/>
        <v>0</v>
      </c>
      <c r="G343" s="157">
        <f t="shared" si="7"/>
        <v>0</v>
      </c>
    </row>
    <row r="344" spans="2:7" ht="13.5" thickBot="1" x14ac:dyDescent="0.25">
      <c r="B344" s="159" t="str">
        <f t="shared" si="3"/>
        <v>עודף (גרעון) בתקופת הדוח</v>
      </c>
      <c r="C344" s="158"/>
      <c r="D344" s="146">
        <f t="shared" si="7"/>
        <v>-9651</v>
      </c>
      <c r="E344" s="158">
        <f t="shared" si="7"/>
        <v>0</v>
      </c>
      <c r="F344" s="146">
        <f t="shared" si="7"/>
        <v>-2766</v>
      </c>
      <c r="G344" s="157">
        <f t="shared" si="7"/>
        <v>0</v>
      </c>
    </row>
    <row r="345" spans="2:7" ht="13.5" thickTop="1" x14ac:dyDescent="0.2">
      <c r="B345" s="159">
        <f t="shared" si="3"/>
        <v>0</v>
      </c>
      <c r="C345" s="158"/>
      <c r="D345" s="158">
        <f t="shared" si="7"/>
        <v>0</v>
      </c>
      <c r="E345" s="158">
        <f t="shared" si="7"/>
        <v>0</v>
      </c>
      <c r="F345" s="158">
        <f t="shared" si="7"/>
        <v>0</v>
      </c>
      <c r="G345" s="157">
        <f t="shared" si="7"/>
        <v>0</v>
      </c>
    </row>
    <row r="346" spans="2:7" x14ac:dyDescent="0.2">
      <c r="B346" s="161" t="str">
        <f t="shared" si="3"/>
        <v>תקבולים ותשלומים שנצברו לתחילת השנה</v>
      </c>
      <c r="C346" s="158"/>
      <c r="D346" s="158">
        <f t="shared" si="7"/>
        <v>0</v>
      </c>
      <c r="E346" s="158">
        <f t="shared" si="7"/>
        <v>0</v>
      </c>
      <c r="F346" s="158">
        <f t="shared" si="7"/>
        <v>0</v>
      </c>
      <c r="G346" s="157">
        <f t="shared" si="7"/>
        <v>0</v>
      </c>
    </row>
    <row r="347" spans="2:7" x14ac:dyDescent="0.2">
      <c r="B347" s="159" t="str">
        <f t="shared" si="3"/>
        <v>תקבולים שנצברו (תחילת שנה)</v>
      </c>
      <c r="C347" s="158"/>
      <c r="D347" s="137">
        <f t="shared" si="7"/>
        <v>99995</v>
      </c>
      <c r="E347" s="134">
        <f t="shared" si="7"/>
        <v>0</v>
      </c>
      <c r="F347" s="137">
        <f t="shared" si="7"/>
        <v>84751</v>
      </c>
      <c r="G347" s="157">
        <f t="shared" si="7"/>
        <v>0</v>
      </c>
    </row>
    <row r="348" spans="2:7" x14ac:dyDescent="0.2">
      <c r="B348" s="159" t="str">
        <f t="shared" si="3"/>
        <v>תשלומים שנצברו (תחילת שנה)</v>
      </c>
      <c r="C348" s="158"/>
      <c r="D348" s="140">
        <f t="shared" si="7"/>
        <v>93851</v>
      </c>
      <c r="E348" s="134">
        <f t="shared" si="7"/>
        <v>0</v>
      </c>
      <c r="F348" s="140">
        <f t="shared" si="7"/>
        <v>75841</v>
      </c>
      <c r="G348" s="157">
        <f t="shared" si="7"/>
        <v>0</v>
      </c>
    </row>
    <row r="349" spans="2:7" ht="13.5" thickBot="1" x14ac:dyDescent="0.25">
      <c r="B349" s="159" t="str">
        <f t="shared" si="3"/>
        <v>יתרות זמניות נטו לתחילת השנה</v>
      </c>
      <c r="C349" s="158"/>
      <c r="D349" s="146">
        <f t="shared" si="7"/>
        <v>6144</v>
      </c>
      <c r="E349" s="134">
        <f t="shared" si="7"/>
        <v>0</v>
      </c>
      <c r="F349" s="146">
        <f t="shared" si="7"/>
        <v>8910</v>
      </c>
      <c r="G349" s="157">
        <f t="shared" si="7"/>
        <v>0</v>
      </c>
    </row>
    <row r="350" spans="2:7" ht="13.5" thickTop="1" x14ac:dyDescent="0.2">
      <c r="B350" s="159">
        <f t="shared" si="3"/>
        <v>0</v>
      </c>
      <c r="C350" s="158"/>
      <c r="D350" s="134">
        <f t="shared" si="7"/>
        <v>0</v>
      </c>
      <c r="E350" s="134">
        <f t="shared" si="7"/>
        <v>0</v>
      </c>
      <c r="F350" s="134">
        <f t="shared" si="7"/>
        <v>0</v>
      </c>
      <c r="G350" s="157">
        <f t="shared" si="7"/>
        <v>0</v>
      </c>
    </row>
    <row r="351" spans="2:7" x14ac:dyDescent="0.2">
      <c r="B351" s="161" t="str">
        <f t="shared" si="3"/>
        <v>תקבולים ותשלומים שנצברו לסוף התקופה</v>
      </c>
      <c r="C351" s="158"/>
      <c r="D351" s="134">
        <f t="shared" si="7"/>
        <v>0</v>
      </c>
      <c r="E351" s="134">
        <f t="shared" si="7"/>
        <v>0</v>
      </c>
      <c r="F351" s="134">
        <f t="shared" si="7"/>
        <v>0</v>
      </c>
      <c r="G351" s="157">
        <f t="shared" si="7"/>
        <v>0</v>
      </c>
    </row>
    <row r="352" spans="2:7" x14ac:dyDescent="0.2">
      <c r="B352" s="159" t="str">
        <f t="shared" si="3"/>
        <v>תקבולים שנצברו (סוף תקופה)</v>
      </c>
      <c r="C352" s="158"/>
      <c r="D352" s="137">
        <f t="shared" si="7"/>
        <v>107128</v>
      </c>
      <c r="E352" s="134">
        <f t="shared" si="7"/>
        <v>0</v>
      </c>
      <c r="F352" s="137">
        <f t="shared" si="7"/>
        <v>99995</v>
      </c>
      <c r="G352" s="157">
        <f t="shared" si="7"/>
        <v>0</v>
      </c>
    </row>
    <row r="353" spans="2:7" x14ac:dyDescent="0.2">
      <c r="B353" s="159" t="str">
        <f t="shared" si="3"/>
        <v>תשלומים שנצברו (סוף תקופה)</v>
      </c>
      <c r="C353" s="158"/>
      <c r="D353" s="140">
        <f t="shared" si="7"/>
        <v>110635</v>
      </c>
      <c r="E353" s="134">
        <f t="shared" si="7"/>
        <v>0</v>
      </c>
      <c r="F353" s="140">
        <f t="shared" si="7"/>
        <v>93851</v>
      </c>
      <c r="G353" s="157">
        <f t="shared" si="7"/>
        <v>0</v>
      </c>
    </row>
    <row r="354" spans="2:7" ht="13.5" thickBot="1" x14ac:dyDescent="0.25">
      <c r="B354" s="159" t="str">
        <f t="shared" si="3"/>
        <v>עודף (גרעון) נטו</v>
      </c>
      <c r="C354" s="158"/>
      <c r="D354" s="146">
        <f t="shared" si="7"/>
        <v>-3507</v>
      </c>
      <c r="E354" s="134">
        <f t="shared" si="7"/>
        <v>0</v>
      </c>
      <c r="F354" s="146">
        <f t="shared" si="7"/>
        <v>6144</v>
      </c>
      <c r="G354" s="157">
        <f t="shared" si="7"/>
        <v>0</v>
      </c>
    </row>
    <row r="355" spans="2:7" ht="18" customHeight="1" thickTop="1" x14ac:dyDescent="0.2">
      <c r="B355" s="161" t="str">
        <f t="shared" si="3"/>
        <v>הרכב היתרה</v>
      </c>
      <c r="C355" s="158"/>
      <c r="D355" s="134">
        <f t="shared" si="7"/>
        <v>0</v>
      </c>
      <c r="E355" s="134">
        <f t="shared" si="7"/>
        <v>0</v>
      </c>
      <c r="F355" s="134">
        <f t="shared" si="7"/>
        <v>0</v>
      </c>
      <c r="G355" s="157">
        <f t="shared" si="7"/>
        <v>0</v>
      </c>
    </row>
    <row r="356" spans="2:7" x14ac:dyDescent="0.2">
      <c r="B356" s="159" t="str">
        <f t="shared" si="3"/>
        <v>עודפי מימון זמניים</v>
      </c>
      <c r="C356" s="158"/>
      <c r="D356" s="140">
        <f t="shared" si="7"/>
        <v>13834</v>
      </c>
      <c r="E356" s="134">
        <f t="shared" si="7"/>
        <v>0</v>
      </c>
      <c r="F356" s="140">
        <f t="shared" si="7"/>
        <v>40272</v>
      </c>
      <c r="G356" s="157">
        <f t="shared" si="7"/>
        <v>0</v>
      </c>
    </row>
    <row r="357" spans="2:7" x14ac:dyDescent="0.2">
      <c r="B357" s="159" t="str">
        <f t="shared" si="3"/>
        <v>גרעונות מימון זמניים</v>
      </c>
      <c r="C357" s="158"/>
      <c r="D357" s="140">
        <f t="shared" ref="D357:G362" si="8">D54</f>
        <v>17341</v>
      </c>
      <c r="E357" s="134">
        <f t="shared" si="8"/>
        <v>0</v>
      </c>
      <c r="F357" s="140">
        <f t="shared" si="8"/>
        <v>34128</v>
      </c>
      <c r="G357" s="157">
        <f t="shared" si="8"/>
        <v>0</v>
      </c>
    </row>
    <row r="358" spans="2:7" ht="13.5" thickBot="1" x14ac:dyDescent="0.25">
      <c r="B358" s="159" t="str">
        <f t="shared" si="3"/>
        <v>עודף (גרעון) נטו</v>
      </c>
      <c r="C358" s="158"/>
      <c r="D358" s="146">
        <f t="shared" si="8"/>
        <v>-3507</v>
      </c>
      <c r="E358" s="134">
        <f t="shared" si="8"/>
        <v>0</v>
      </c>
      <c r="F358" s="146">
        <f t="shared" si="8"/>
        <v>6144</v>
      </c>
      <c r="G358" s="157">
        <f t="shared" si="8"/>
        <v>0</v>
      </c>
    </row>
    <row r="359" spans="2:7" ht="18" customHeight="1" thickTop="1" x14ac:dyDescent="0.2">
      <c r="B359" s="228" t="str">
        <f t="shared" si="3"/>
        <v>(*)לאחר נכוי השקעות בפרויקטים שנסגרו בתקופת הדוח</v>
      </c>
      <c r="C359" s="158"/>
      <c r="D359" s="229">
        <f t="shared" si="8"/>
        <v>0</v>
      </c>
      <c r="E359" s="134">
        <f t="shared" si="8"/>
        <v>0</v>
      </c>
      <c r="F359" s="229">
        <f t="shared" si="8"/>
        <v>0</v>
      </c>
      <c r="G359" s="157">
        <f t="shared" si="8"/>
        <v>0</v>
      </c>
    </row>
    <row r="360" spans="2:7" x14ac:dyDescent="0.2">
      <c r="B360" s="159" t="str">
        <f t="shared" si="3"/>
        <v>תקבולים (בנכוי פרויקטים שנסגרו)</v>
      </c>
      <c r="C360" s="158"/>
      <c r="D360" s="137">
        <f t="shared" si="8"/>
        <v>0</v>
      </c>
      <c r="E360" s="134">
        <f t="shared" si="8"/>
        <v>0</v>
      </c>
      <c r="F360" s="137">
        <f t="shared" si="8"/>
        <v>14242</v>
      </c>
      <c r="G360" s="157">
        <f t="shared" si="8"/>
        <v>0</v>
      </c>
    </row>
    <row r="361" spans="2:7" x14ac:dyDescent="0.2">
      <c r="B361" s="159" t="str">
        <f t="shared" si="3"/>
        <v>תשלומים (בנכוי פרויקטים שנסגרו)</v>
      </c>
      <c r="C361" s="158"/>
      <c r="D361" s="227">
        <f t="shared" si="8"/>
        <v>0</v>
      </c>
      <c r="E361" s="134">
        <f t="shared" si="8"/>
        <v>0</v>
      </c>
      <c r="F361" s="227">
        <f t="shared" si="8"/>
        <v>14242</v>
      </c>
      <c r="G361" s="157">
        <f t="shared" si="8"/>
        <v>0</v>
      </c>
    </row>
    <row r="362" spans="2:7" hidden="1" x14ac:dyDescent="0.2">
      <c r="B362" s="159">
        <f t="shared" si="3"/>
        <v>0</v>
      </c>
      <c r="C362" s="158">
        <f>C59</f>
        <v>0</v>
      </c>
      <c r="D362" s="155"/>
      <c r="E362" s="155">
        <f>E59</f>
        <v>0</v>
      </c>
      <c r="F362" s="155">
        <f>F59</f>
        <v>0</v>
      </c>
      <c r="G362" s="157">
        <f t="shared" si="8"/>
        <v>0</v>
      </c>
    </row>
    <row r="363" spans="2:7" hidden="1" x14ac:dyDescent="0.2">
      <c r="B363" s="159"/>
      <c r="C363" s="158"/>
      <c r="D363" s="230"/>
      <c r="E363" s="230"/>
      <c r="F363" s="230"/>
      <c r="G363" s="157"/>
    </row>
    <row r="364" spans="2:7" ht="22.5" customHeight="1" x14ac:dyDescent="0.2">
      <c r="B364" s="533" t="str">
        <f>CONCATENATE("ביקורת:   ",BikoretCode)</f>
        <v xml:space="preserve">ביקורת:   </v>
      </c>
      <c r="C364" s="158"/>
      <c r="D364" s="230"/>
      <c r="E364" s="230"/>
      <c r="F364" s="230"/>
      <c r="G364" s="157"/>
    </row>
    <row r="365" spans="2:7" x14ac:dyDescent="0.2">
      <c r="B365" s="159"/>
      <c r="C365" s="158"/>
      <c r="D365" s="230"/>
      <c r="E365" s="230"/>
      <c r="F365" s="230"/>
      <c r="G365" s="157"/>
    </row>
    <row r="366" spans="2:7" x14ac:dyDescent="0.2">
      <c r="B366" s="159"/>
      <c r="C366" s="158"/>
      <c r="D366" s="230"/>
      <c r="E366" s="230"/>
      <c r="F366" s="230"/>
      <c r="G366" s="157"/>
    </row>
    <row r="367" spans="2:7" x14ac:dyDescent="0.2">
      <c r="B367" s="159"/>
      <c r="C367" s="158"/>
      <c r="D367" s="230"/>
      <c r="E367" s="230"/>
      <c r="F367" s="230"/>
      <c r="G367" s="157"/>
    </row>
    <row r="368" spans="2:7" x14ac:dyDescent="0.2">
      <c r="B368" s="159"/>
      <c r="C368" s="158"/>
      <c r="D368" s="230"/>
      <c r="E368" s="230"/>
      <c r="F368" s="230"/>
      <c r="G368" s="157"/>
    </row>
    <row r="369" spans="2:7" x14ac:dyDescent="0.2">
      <c r="B369" s="159"/>
      <c r="C369" s="158"/>
      <c r="D369" s="230"/>
      <c r="E369" s="230"/>
      <c r="F369" s="230"/>
      <c r="G369" s="157"/>
    </row>
    <row r="370" spans="2:7" x14ac:dyDescent="0.2">
      <c r="B370" s="159"/>
      <c r="C370" s="158"/>
      <c r="D370" s="230"/>
      <c r="E370" s="230"/>
      <c r="F370" s="230"/>
      <c r="G370" s="157"/>
    </row>
    <row r="371" spans="2:7" x14ac:dyDescent="0.2">
      <c r="B371" s="159"/>
      <c r="C371" s="158"/>
      <c r="D371" s="230"/>
      <c r="E371" s="230"/>
      <c r="F371" s="230"/>
      <c r="G371" s="157"/>
    </row>
    <row r="372" spans="2:7" x14ac:dyDescent="0.2">
      <c r="B372" s="159">
        <f t="shared" ref="B372:G372" si="9">B70</f>
        <v>0</v>
      </c>
      <c r="C372" s="158">
        <f t="shared" si="9"/>
        <v>0</v>
      </c>
      <c r="D372" s="158">
        <f t="shared" si="9"/>
        <v>0</v>
      </c>
      <c r="E372" s="158">
        <f t="shared" si="9"/>
        <v>0</v>
      </c>
      <c r="F372" s="158">
        <f t="shared" si="9"/>
        <v>0</v>
      </c>
      <c r="G372" s="157">
        <f t="shared" si="9"/>
        <v>0</v>
      </c>
    </row>
  </sheetData>
  <sheetProtection password="83C1" sheet="1" objects="1" scenarios="1"/>
  <mergeCells count="6">
    <mergeCell ref="B304:F304"/>
    <mergeCell ref="B305:F305"/>
    <mergeCell ref="C1:H1"/>
    <mergeCell ref="C2:H2"/>
    <mergeCell ref="C3:H3"/>
    <mergeCell ref="B303:F303"/>
  </mergeCells>
  <phoneticPr fontId="58" type="noConversion"/>
  <dataValidations xWindow="607" yWindow="626" count="1">
    <dataValidation type="whole" operator="greaterThanOrEqual" allowBlank="1" showInputMessage="1" showErrorMessage="1" errorTitle="יישום הדוח הרבעוני" error="יש להקליד מספר חיובי" prompt="יש להקליד מספר חיובי" sqref="D54 F54">
      <formula1>0</formula1>
    </dataValidation>
  </dataValidations>
  <hyperlinks>
    <hyperlink ref="A4" location="'תוכן הענינים'!A1" tooltip="לחץ להצגת גליון תוכן הענינים" display="הצג תוכן ענינים"/>
  </hyperlinks>
  <printOptions horizontalCentered="1"/>
  <pageMargins left="0.75" right="0.75" top="1" bottom="1" header="0.5" footer="0.5"/>
  <pageSetup paperSize="9" scale="87" orientation="portrait" blackAndWhite="1" r:id="rId1"/>
  <headerFooter alignWithMargins="0"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/>
  <dimension ref="A1:Z343"/>
  <sheetViews>
    <sheetView showRowColHeaders="0" showZeros="0" rightToLeft="1" topLeftCell="A4" zoomScale="81" workbookViewId="0">
      <selection activeCell="A4" sqref="A4"/>
    </sheetView>
  </sheetViews>
  <sheetFormatPr defaultColWidth="9.140625" defaultRowHeight="12.75" x14ac:dyDescent="0.2"/>
  <cols>
    <col min="1" max="1" width="4" style="107" customWidth="1"/>
    <col min="2" max="2" width="3.140625" style="107" customWidth="1"/>
    <col min="3" max="3" width="16.140625" style="107" customWidth="1"/>
    <col min="4" max="4" width="11.42578125" style="107" customWidth="1"/>
    <col min="5" max="5" width="2.7109375" style="107" customWidth="1"/>
    <col min="6" max="6" width="11.5703125" style="107" customWidth="1"/>
    <col min="7" max="7" width="2.7109375" style="107" customWidth="1"/>
    <col min="8" max="8" width="11.42578125" style="107" customWidth="1"/>
    <col min="9" max="9" width="2.7109375" style="107" customWidth="1"/>
    <col min="10" max="10" width="11.42578125" style="107" customWidth="1"/>
    <col min="11" max="11" width="2.7109375" style="107" customWidth="1"/>
    <col min="12" max="12" width="11.42578125" style="107" customWidth="1"/>
    <col min="13" max="13" width="2.7109375" style="107" customWidth="1"/>
    <col min="14" max="14" width="11.42578125" style="107" customWidth="1"/>
    <col min="15" max="15" width="2.7109375" style="107" customWidth="1"/>
    <col min="16" max="16" width="11.42578125" style="107" customWidth="1"/>
    <col min="17" max="17" width="2.7109375" style="107" customWidth="1"/>
    <col min="18" max="18" width="11.42578125" style="107" customWidth="1"/>
    <col min="19" max="19" width="2.7109375" style="107" customWidth="1"/>
    <col min="20" max="20" width="11.42578125" style="107" customWidth="1"/>
    <col min="21" max="21" width="2.7109375" style="107" customWidth="1"/>
    <col min="22" max="22" width="11.42578125" style="107" customWidth="1"/>
    <col min="23" max="23" width="2.7109375" style="107" customWidth="1"/>
    <col min="24" max="24" width="11.5703125" style="107" customWidth="1"/>
    <col min="25" max="25" width="5.28515625" style="107" customWidth="1"/>
    <col min="26" max="16384" width="9.140625" style="107"/>
  </cols>
  <sheetData>
    <row r="1" spans="1:26" ht="19.5" thickTop="1" thickBot="1" x14ac:dyDescent="0.25">
      <c r="A1" s="106"/>
      <c r="B1" s="106"/>
      <c r="C1" s="106"/>
      <c r="D1" s="106"/>
      <c r="E1" s="639" t="str">
        <f>GufMevukar</f>
        <v>מ"א עמק הירדן</v>
      </c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1"/>
      <c r="Z1" s="106"/>
    </row>
    <row r="2" spans="1:26" ht="19.5" thickTop="1" thickBot="1" x14ac:dyDescent="0.25">
      <c r="A2" s="106"/>
      <c r="B2" s="106"/>
      <c r="C2" s="106"/>
      <c r="D2" s="106"/>
      <c r="E2" s="642" t="s">
        <v>800</v>
      </c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1"/>
      <c r="Z2" s="106"/>
    </row>
    <row r="3" spans="1:26" ht="19.5" thickTop="1" thickBot="1" x14ac:dyDescent="0.25">
      <c r="A3" s="106"/>
      <c r="B3" s="106"/>
      <c r="C3" s="106"/>
      <c r="D3" s="106"/>
      <c r="E3" s="639" t="str">
        <f>ReportPeriod</f>
        <v>לתקופה: רבעון 1, שנת 2017</v>
      </c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0"/>
      <c r="X3" s="640"/>
      <c r="Y3" s="641"/>
      <c r="Z3" s="106"/>
    </row>
    <row r="4" spans="1:26" ht="13.5" thickTop="1" x14ac:dyDescent="0.2">
      <c r="A4" s="110" t="s">
        <v>584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2"/>
    </row>
    <row r="5" spans="1:26" ht="6" customHeight="1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2"/>
    </row>
    <row r="6" spans="1:26" ht="42" customHeight="1" x14ac:dyDescent="0.2">
      <c r="A6" s="111"/>
      <c r="B6" s="113"/>
      <c r="C6" s="113" t="s">
        <v>801</v>
      </c>
      <c r="D6" s="113" t="s">
        <v>802</v>
      </c>
      <c r="E6" s="113"/>
      <c r="F6" s="113" t="s">
        <v>803</v>
      </c>
      <c r="G6" s="113"/>
      <c r="H6" s="114" t="s">
        <v>804</v>
      </c>
      <c r="I6" s="113"/>
      <c r="J6" s="114" t="s">
        <v>805</v>
      </c>
      <c r="K6" s="113"/>
      <c r="L6" s="114" t="s">
        <v>857</v>
      </c>
      <c r="M6" s="113"/>
      <c r="N6" s="114" t="s">
        <v>858</v>
      </c>
      <c r="O6" s="113"/>
      <c r="P6" s="114" t="s">
        <v>806</v>
      </c>
      <c r="Q6" s="113"/>
      <c r="R6" s="114" t="s">
        <v>807</v>
      </c>
      <c r="S6" s="113"/>
      <c r="T6" s="114" t="s">
        <v>808</v>
      </c>
      <c r="U6" s="113"/>
      <c r="V6" s="114" t="s">
        <v>809</v>
      </c>
      <c r="W6" s="113"/>
      <c r="X6" s="113" t="s">
        <v>810</v>
      </c>
      <c r="Y6" s="113"/>
      <c r="Z6" s="112"/>
    </row>
    <row r="7" spans="1:26" ht="14.25" customHeight="1" x14ac:dyDescent="0.2">
      <c r="A7" s="111"/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7"/>
      <c r="Z7" s="112"/>
    </row>
    <row r="8" spans="1:26" x14ac:dyDescent="0.2">
      <c r="A8" s="111"/>
      <c r="B8" s="115">
        <v>61</v>
      </c>
      <c r="C8" s="196" t="s">
        <v>707</v>
      </c>
      <c r="D8" s="119"/>
      <c r="E8" s="116"/>
      <c r="F8" s="119"/>
      <c r="G8" s="116"/>
      <c r="H8" s="119"/>
      <c r="I8" s="116"/>
      <c r="J8" s="119"/>
      <c r="K8" s="116"/>
      <c r="L8" s="119"/>
      <c r="M8" s="116"/>
      <c r="N8" s="119"/>
      <c r="O8" s="116"/>
      <c r="P8" s="120">
        <f t="shared" ref="P8:P36" si="0">H8+L8</f>
        <v>0</v>
      </c>
      <c r="Q8" s="116"/>
      <c r="R8" s="120">
        <f t="shared" ref="R8:R36" si="1">J8+N8</f>
        <v>0</v>
      </c>
      <c r="S8" s="116"/>
      <c r="T8" s="119"/>
      <c r="U8" s="116"/>
      <c r="V8" s="120">
        <f t="shared" ref="V8:V36" si="2">R8-P8+T8</f>
        <v>0</v>
      </c>
      <c r="W8" s="116"/>
      <c r="X8" s="120">
        <f t="shared" ref="X8:X36" si="3">P8-R8</f>
        <v>0</v>
      </c>
      <c r="Y8" s="117"/>
      <c r="Z8" s="112"/>
    </row>
    <row r="9" spans="1:26" x14ac:dyDescent="0.2">
      <c r="A9" s="111"/>
      <c r="B9" s="115">
        <v>62</v>
      </c>
      <c r="C9" s="196" t="s">
        <v>708</v>
      </c>
      <c r="D9" s="119"/>
      <c r="E9" s="116"/>
      <c r="F9" s="119"/>
      <c r="G9" s="116"/>
      <c r="H9" s="119"/>
      <c r="I9" s="116"/>
      <c r="J9" s="119"/>
      <c r="K9" s="116"/>
      <c r="L9" s="119"/>
      <c r="M9" s="116"/>
      <c r="N9" s="119"/>
      <c r="O9" s="116"/>
      <c r="P9" s="120">
        <f t="shared" si="0"/>
        <v>0</v>
      </c>
      <c r="Q9" s="116"/>
      <c r="R9" s="120">
        <f t="shared" si="1"/>
        <v>0</v>
      </c>
      <c r="S9" s="116"/>
      <c r="T9" s="119"/>
      <c r="U9" s="116"/>
      <c r="V9" s="120">
        <f t="shared" si="2"/>
        <v>0</v>
      </c>
      <c r="W9" s="116"/>
      <c r="X9" s="120">
        <f t="shared" si="3"/>
        <v>0</v>
      </c>
      <c r="Y9" s="117"/>
      <c r="Z9" s="112"/>
    </row>
    <row r="10" spans="1:26" x14ac:dyDescent="0.2">
      <c r="A10" s="111"/>
      <c r="B10" s="115">
        <v>63</v>
      </c>
      <c r="C10" s="196" t="s">
        <v>677</v>
      </c>
      <c r="D10" s="119"/>
      <c r="E10" s="116"/>
      <c r="F10" s="119"/>
      <c r="G10" s="116"/>
      <c r="H10" s="119"/>
      <c r="I10" s="116"/>
      <c r="J10" s="119"/>
      <c r="K10" s="116"/>
      <c r="L10" s="119"/>
      <c r="M10" s="116"/>
      <c r="N10" s="119"/>
      <c r="O10" s="116"/>
      <c r="P10" s="120">
        <f t="shared" si="0"/>
        <v>0</v>
      </c>
      <c r="Q10" s="116"/>
      <c r="R10" s="120">
        <f t="shared" si="1"/>
        <v>0</v>
      </c>
      <c r="S10" s="116"/>
      <c r="T10" s="119"/>
      <c r="U10" s="116"/>
      <c r="V10" s="120">
        <f t="shared" si="2"/>
        <v>0</v>
      </c>
      <c r="W10" s="116"/>
      <c r="X10" s="120">
        <f t="shared" si="3"/>
        <v>0</v>
      </c>
      <c r="Y10" s="117"/>
      <c r="Z10" s="112"/>
    </row>
    <row r="11" spans="1:26" x14ac:dyDescent="0.2">
      <c r="A11" s="111"/>
      <c r="B11" s="115">
        <v>64</v>
      </c>
      <c r="C11" s="196" t="s">
        <v>811</v>
      </c>
      <c r="D11" s="119"/>
      <c r="E11" s="116"/>
      <c r="F11" s="119"/>
      <c r="G11" s="116"/>
      <c r="H11" s="119"/>
      <c r="I11" s="116"/>
      <c r="J11" s="119"/>
      <c r="K11" s="116"/>
      <c r="L11" s="119"/>
      <c r="M11" s="116"/>
      <c r="N11" s="119"/>
      <c r="O11" s="116"/>
      <c r="P11" s="120">
        <f t="shared" si="0"/>
        <v>0</v>
      </c>
      <c r="Q11" s="116"/>
      <c r="R11" s="120">
        <f t="shared" si="1"/>
        <v>0</v>
      </c>
      <c r="S11" s="116"/>
      <c r="T11" s="119"/>
      <c r="U11" s="116"/>
      <c r="V11" s="120">
        <f t="shared" si="2"/>
        <v>0</v>
      </c>
      <c r="W11" s="116"/>
      <c r="X11" s="120">
        <f t="shared" si="3"/>
        <v>0</v>
      </c>
      <c r="Y11" s="117"/>
      <c r="Z11" s="112"/>
    </row>
    <row r="12" spans="1:26" x14ac:dyDescent="0.2">
      <c r="A12" s="111"/>
      <c r="B12" s="115">
        <v>71</v>
      </c>
      <c r="C12" s="196" t="s">
        <v>711</v>
      </c>
      <c r="D12" s="119">
        <v>6</v>
      </c>
      <c r="E12" s="116"/>
      <c r="F12" s="119">
        <v>25631</v>
      </c>
      <c r="G12" s="116"/>
      <c r="H12" s="119">
        <v>10913</v>
      </c>
      <c r="I12" s="116"/>
      <c r="J12" s="119">
        <v>8537</v>
      </c>
      <c r="K12" s="116"/>
      <c r="L12" s="119">
        <v>90</v>
      </c>
      <c r="M12" s="116"/>
      <c r="N12" s="119">
        <v>1563</v>
      </c>
      <c r="O12" s="116"/>
      <c r="P12" s="120">
        <f t="shared" si="0"/>
        <v>11003</v>
      </c>
      <c r="Q12" s="116"/>
      <c r="R12" s="120">
        <f t="shared" si="1"/>
        <v>10100</v>
      </c>
      <c r="S12" s="116"/>
      <c r="T12" s="119">
        <v>905</v>
      </c>
      <c r="U12" s="116"/>
      <c r="V12" s="120">
        <f t="shared" si="2"/>
        <v>2</v>
      </c>
      <c r="W12" s="116"/>
      <c r="X12" s="120">
        <f t="shared" si="3"/>
        <v>903</v>
      </c>
      <c r="Y12" s="117"/>
      <c r="Z12" s="112"/>
    </row>
    <row r="13" spans="1:26" x14ac:dyDescent="0.2">
      <c r="A13" s="111"/>
      <c r="B13" s="115">
        <v>72</v>
      </c>
      <c r="C13" s="196" t="s">
        <v>712</v>
      </c>
      <c r="D13" s="119">
        <v>10</v>
      </c>
      <c r="E13" s="116"/>
      <c r="F13" s="119">
        <v>1927</v>
      </c>
      <c r="G13" s="116"/>
      <c r="H13" s="119">
        <v>463</v>
      </c>
      <c r="I13" s="116"/>
      <c r="J13" s="119">
        <v>986</v>
      </c>
      <c r="K13" s="116"/>
      <c r="L13" s="119">
        <v>135</v>
      </c>
      <c r="M13" s="116"/>
      <c r="N13" s="119">
        <v>267</v>
      </c>
      <c r="O13" s="116"/>
      <c r="P13" s="120">
        <f t="shared" si="0"/>
        <v>598</v>
      </c>
      <c r="Q13" s="116"/>
      <c r="R13" s="120">
        <f t="shared" si="1"/>
        <v>1253</v>
      </c>
      <c r="S13" s="116"/>
      <c r="T13" s="119"/>
      <c r="U13" s="116"/>
      <c r="V13" s="120">
        <f t="shared" si="2"/>
        <v>655</v>
      </c>
      <c r="W13" s="116"/>
      <c r="X13" s="120">
        <f t="shared" si="3"/>
        <v>-655</v>
      </c>
      <c r="Y13" s="117"/>
      <c r="Z13" s="112"/>
    </row>
    <row r="14" spans="1:26" x14ac:dyDescent="0.2">
      <c r="A14" s="111"/>
      <c r="B14" s="115">
        <v>73</v>
      </c>
      <c r="C14" s="196" t="s">
        <v>812</v>
      </c>
      <c r="D14" s="119">
        <v>5</v>
      </c>
      <c r="E14" s="116"/>
      <c r="F14" s="119">
        <v>3540</v>
      </c>
      <c r="G14" s="116"/>
      <c r="H14" s="119">
        <v>1080</v>
      </c>
      <c r="I14" s="116"/>
      <c r="J14" s="119">
        <v>208</v>
      </c>
      <c r="K14" s="116"/>
      <c r="L14" s="119"/>
      <c r="M14" s="116"/>
      <c r="N14" s="119">
        <v>116</v>
      </c>
      <c r="O14" s="116"/>
      <c r="P14" s="120">
        <f t="shared" si="0"/>
        <v>1080</v>
      </c>
      <c r="Q14" s="116"/>
      <c r="R14" s="120">
        <f t="shared" si="1"/>
        <v>324</v>
      </c>
      <c r="S14" s="116"/>
      <c r="T14" s="119">
        <v>756</v>
      </c>
      <c r="U14" s="116"/>
      <c r="V14" s="120">
        <f t="shared" si="2"/>
        <v>0</v>
      </c>
      <c r="W14" s="116"/>
      <c r="X14" s="120">
        <f t="shared" si="3"/>
        <v>756</v>
      </c>
      <c r="Y14" s="117"/>
      <c r="Z14" s="112"/>
    </row>
    <row r="15" spans="1:26" x14ac:dyDescent="0.2">
      <c r="A15" s="111"/>
      <c r="B15" s="115">
        <v>74</v>
      </c>
      <c r="C15" s="196" t="s">
        <v>813</v>
      </c>
      <c r="D15" s="119">
        <v>51</v>
      </c>
      <c r="E15" s="116"/>
      <c r="F15" s="119">
        <v>69137</v>
      </c>
      <c r="G15" s="116"/>
      <c r="H15" s="119">
        <v>46675</v>
      </c>
      <c r="I15" s="116"/>
      <c r="J15" s="119">
        <v>41174</v>
      </c>
      <c r="K15" s="116"/>
      <c r="L15" s="119">
        <v>2274</v>
      </c>
      <c r="M15" s="116"/>
      <c r="N15" s="119">
        <v>2376</v>
      </c>
      <c r="O15" s="116"/>
      <c r="P15" s="120">
        <f t="shared" si="0"/>
        <v>48949</v>
      </c>
      <c r="Q15" s="116"/>
      <c r="R15" s="120">
        <f t="shared" si="1"/>
        <v>43550</v>
      </c>
      <c r="S15" s="116"/>
      <c r="T15" s="119">
        <v>8858</v>
      </c>
      <c r="U15" s="116"/>
      <c r="V15" s="120">
        <f t="shared" si="2"/>
        <v>3459</v>
      </c>
      <c r="W15" s="116"/>
      <c r="X15" s="120">
        <f t="shared" si="3"/>
        <v>5399</v>
      </c>
      <c r="Y15" s="117"/>
      <c r="Z15" s="112"/>
    </row>
    <row r="16" spans="1:26" x14ac:dyDescent="0.2">
      <c r="A16" s="111"/>
      <c r="B16" s="115">
        <v>75</v>
      </c>
      <c r="C16" s="196" t="s">
        <v>814</v>
      </c>
      <c r="D16" s="119"/>
      <c r="E16" s="116"/>
      <c r="F16" s="119"/>
      <c r="G16" s="116"/>
      <c r="H16" s="119"/>
      <c r="I16" s="116"/>
      <c r="J16" s="119"/>
      <c r="K16" s="116"/>
      <c r="L16" s="119"/>
      <c r="M16" s="116"/>
      <c r="N16" s="119"/>
      <c r="O16" s="116"/>
      <c r="P16" s="120">
        <f t="shared" si="0"/>
        <v>0</v>
      </c>
      <c r="Q16" s="116"/>
      <c r="R16" s="120">
        <f t="shared" si="1"/>
        <v>0</v>
      </c>
      <c r="S16" s="116"/>
      <c r="T16" s="119"/>
      <c r="U16" s="116"/>
      <c r="V16" s="120">
        <f t="shared" si="2"/>
        <v>0</v>
      </c>
      <c r="W16" s="116"/>
      <c r="X16" s="120">
        <f t="shared" si="3"/>
        <v>0</v>
      </c>
      <c r="Y16" s="117"/>
      <c r="Z16" s="112"/>
    </row>
    <row r="17" spans="1:26" x14ac:dyDescent="0.2">
      <c r="A17" s="111"/>
      <c r="B17" s="115">
        <v>76</v>
      </c>
      <c r="C17" s="196" t="s">
        <v>815</v>
      </c>
      <c r="D17" s="119">
        <v>2</v>
      </c>
      <c r="E17" s="116"/>
      <c r="F17" s="119">
        <v>360</v>
      </c>
      <c r="G17" s="116"/>
      <c r="H17" s="119">
        <v>90</v>
      </c>
      <c r="I17" s="116"/>
      <c r="J17" s="119"/>
      <c r="K17" s="116"/>
      <c r="L17" s="119">
        <v>90</v>
      </c>
      <c r="M17" s="116"/>
      <c r="N17" s="119">
        <v>179</v>
      </c>
      <c r="O17" s="116"/>
      <c r="P17" s="120">
        <f t="shared" si="0"/>
        <v>180</v>
      </c>
      <c r="Q17" s="116"/>
      <c r="R17" s="120">
        <f t="shared" si="1"/>
        <v>179</v>
      </c>
      <c r="S17" s="116"/>
      <c r="T17" s="119">
        <v>1</v>
      </c>
      <c r="U17" s="116"/>
      <c r="V17" s="120">
        <f t="shared" si="2"/>
        <v>0</v>
      </c>
      <c r="W17" s="116"/>
      <c r="X17" s="120">
        <f t="shared" si="3"/>
        <v>1</v>
      </c>
      <c r="Y17" s="117"/>
      <c r="Z17" s="112"/>
    </row>
    <row r="18" spans="1:26" x14ac:dyDescent="0.2">
      <c r="A18" s="111"/>
      <c r="B18" s="115">
        <v>77</v>
      </c>
      <c r="C18" s="196" t="s">
        <v>816</v>
      </c>
      <c r="D18" s="119">
        <v>2</v>
      </c>
      <c r="E18" s="116"/>
      <c r="F18" s="119">
        <v>1310</v>
      </c>
      <c r="G18" s="116"/>
      <c r="H18" s="119">
        <v>311</v>
      </c>
      <c r="I18" s="116"/>
      <c r="J18" s="119">
        <v>352</v>
      </c>
      <c r="K18" s="116"/>
      <c r="L18" s="119"/>
      <c r="M18" s="116"/>
      <c r="N18" s="119"/>
      <c r="O18" s="116"/>
      <c r="P18" s="120">
        <f t="shared" si="0"/>
        <v>311</v>
      </c>
      <c r="Q18" s="116"/>
      <c r="R18" s="120">
        <f t="shared" si="1"/>
        <v>352</v>
      </c>
      <c r="S18" s="116"/>
      <c r="T18" s="119"/>
      <c r="U18" s="116"/>
      <c r="V18" s="120">
        <f t="shared" si="2"/>
        <v>41</v>
      </c>
      <c r="W18" s="116"/>
      <c r="X18" s="120">
        <f t="shared" si="3"/>
        <v>-41</v>
      </c>
      <c r="Y18" s="117"/>
      <c r="Z18" s="112"/>
    </row>
    <row r="19" spans="1:26" x14ac:dyDescent="0.2">
      <c r="A19" s="111"/>
      <c r="B19" s="115">
        <v>78</v>
      </c>
      <c r="C19" s="196" t="s">
        <v>716</v>
      </c>
      <c r="D19" s="119"/>
      <c r="E19" s="116"/>
      <c r="F19" s="119"/>
      <c r="G19" s="116"/>
      <c r="H19" s="119"/>
      <c r="I19" s="116"/>
      <c r="J19" s="119"/>
      <c r="K19" s="116"/>
      <c r="L19" s="119"/>
      <c r="M19" s="116"/>
      <c r="N19" s="119"/>
      <c r="O19" s="116"/>
      <c r="P19" s="120">
        <f t="shared" si="0"/>
        <v>0</v>
      </c>
      <c r="Q19" s="116"/>
      <c r="R19" s="120">
        <f t="shared" si="1"/>
        <v>0</v>
      </c>
      <c r="S19" s="116"/>
      <c r="T19" s="119"/>
      <c r="U19" s="116"/>
      <c r="V19" s="120">
        <f t="shared" si="2"/>
        <v>0</v>
      </c>
      <c r="W19" s="116"/>
      <c r="X19" s="120">
        <f t="shared" si="3"/>
        <v>0</v>
      </c>
      <c r="Y19" s="117"/>
      <c r="Z19" s="112"/>
    </row>
    <row r="20" spans="1:26" x14ac:dyDescent="0.2">
      <c r="A20" s="111"/>
      <c r="B20" s="115">
        <v>79</v>
      </c>
      <c r="C20" s="196" t="s">
        <v>817</v>
      </c>
      <c r="D20" s="119"/>
      <c r="E20" s="116"/>
      <c r="F20" s="119"/>
      <c r="G20" s="116"/>
      <c r="H20" s="119"/>
      <c r="I20" s="116"/>
      <c r="J20" s="119"/>
      <c r="K20" s="116"/>
      <c r="L20" s="119"/>
      <c r="M20" s="116"/>
      <c r="N20" s="119"/>
      <c r="O20" s="116"/>
      <c r="P20" s="120">
        <f t="shared" si="0"/>
        <v>0</v>
      </c>
      <c r="Q20" s="116"/>
      <c r="R20" s="120">
        <f t="shared" si="1"/>
        <v>0</v>
      </c>
      <c r="S20" s="116"/>
      <c r="T20" s="119"/>
      <c r="U20" s="116"/>
      <c r="V20" s="120">
        <f t="shared" si="2"/>
        <v>0</v>
      </c>
      <c r="W20" s="116"/>
      <c r="X20" s="120">
        <f t="shared" si="3"/>
        <v>0</v>
      </c>
      <c r="Y20" s="117"/>
      <c r="Z20" s="112"/>
    </row>
    <row r="21" spans="1:26" x14ac:dyDescent="0.2">
      <c r="A21" s="111"/>
      <c r="B21" s="115">
        <v>81</v>
      </c>
      <c r="C21" s="196" t="s">
        <v>818</v>
      </c>
      <c r="D21" s="119">
        <v>32</v>
      </c>
      <c r="E21" s="116"/>
      <c r="F21" s="119">
        <v>22429</v>
      </c>
      <c r="G21" s="116"/>
      <c r="H21" s="119">
        <v>3308</v>
      </c>
      <c r="I21" s="116"/>
      <c r="J21" s="119">
        <v>3999</v>
      </c>
      <c r="K21" s="116"/>
      <c r="L21" s="119">
        <v>1659</v>
      </c>
      <c r="M21" s="116"/>
      <c r="N21" s="119">
        <v>4189</v>
      </c>
      <c r="O21" s="116"/>
      <c r="P21" s="120">
        <f t="shared" si="0"/>
        <v>4967</v>
      </c>
      <c r="Q21" s="116"/>
      <c r="R21" s="120">
        <f t="shared" si="1"/>
        <v>8188</v>
      </c>
      <c r="S21" s="116"/>
      <c r="T21" s="119">
        <v>483</v>
      </c>
      <c r="U21" s="116"/>
      <c r="V21" s="120">
        <f t="shared" si="2"/>
        <v>3704</v>
      </c>
      <c r="W21" s="116"/>
      <c r="X21" s="120">
        <f t="shared" si="3"/>
        <v>-3221</v>
      </c>
      <c r="Y21" s="117"/>
      <c r="Z21" s="112"/>
    </row>
    <row r="22" spans="1:26" x14ac:dyDescent="0.2">
      <c r="A22" s="111"/>
      <c r="B22" s="115">
        <v>82</v>
      </c>
      <c r="C22" s="196" t="s">
        <v>721</v>
      </c>
      <c r="D22" s="119">
        <v>15</v>
      </c>
      <c r="E22" s="116"/>
      <c r="F22" s="119">
        <v>21056</v>
      </c>
      <c r="G22" s="116"/>
      <c r="H22" s="119">
        <v>1480</v>
      </c>
      <c r="I22" s="116"/>
      <c r="J22" s="119">
        <v>3675</v>
      </c>
      <c r="K22" s="116"/>
      <c r="L22" s="119">
        <v>410</v>
      </c>
      <c r="M22" s="116"/>
      <c r="N22" s="119">
        <v>5127</v>
      </c>
      <c r="O22" s="116"/>
      <c r="P22" s="120">
        <f t="shared" si="0"/>
        <v>1890</v>
      </c>
      <c r="Q22" s="116"/>
      <c r="R22" s="120">
        <f t="shared" si="1"/>
        <v>8802</v>
      </c>
      <c r="S22" s="116"/>
      <c r="T22" s="119">
        <v>686</v>
      </c>
      <c r="U22" s="116"/>
      <c r="V22" s="120">
        <f t="shared" si="2"/>
        <v>7598</v>
      </c>
      <c r="W22" s="116"/>
      <c r="X22" s="120">
        <f t="shared" si="3"/>
        <v>-6912</v>
      </c>
      <c r="Y22" s="117"/>
      <c r="Z22" s="112"/>
    </row>
    <row r="23" spans="1:26" x14ac:dyDescent="0.2">
      <c r="A23" s="111"/>
      <c r="B23" s="115">
        <v>83</v>
      </c>
      <c r="C23" s="196" t="s">
        <v>722</v>
      </c>
      <c r="D23" s="119"/>
      <c r="E23" s="116"/>
      <c r="F23" s="119"/>
      <c r="G23" s="116"/>
      <c r="H23" s="119"/>
      <c r="I23" s="116"/>
      <c r="J23" s="119"/>
      <c r="K23" s="116"/>
      <c r="L23" s="119"/>
      <c r="M23" s="116"/>
      <c r="N23" s="119"/>
      <c r="O23" s="116"/>
      <c r="P23" s="120">
        <f t="shared" si="0"/>
        <v>0</v>
      </c>
      <c r="Q23" s="116"/>
      <c r="R23" s="120">
        <f t="shared" si="1"/>
        <v>0</v>
      </c>
      <c r="S23" s="116"/>
      <c r="T23" s="119"/>
      <c r="U23" s="116"/>
      <c r="V23" s="120">
        <f t="shared" si="2"/>
        <v>0</v>
      </c>
      <c r="W23" s="116"/>
      <c r="X23" s="120">
        <f t="shared" si="3"/>
        <v>0</v>
      </c>
      <c r="Y23" s="117"/>
      <c r="Z23" s="112"/>
    </row>
    <row r="24" spans="1:26" x14ac:dyDescent="0.2">
      <c r="A24" s="111"/>
      <c r="B24" s="115">
        <v>84</v>
      </c>
      <c r="C24" s="196" t="s">
        <v>723</v>
      </c>
      <c r="D24" s="119">
        <v>2</v>
      </c>
      <c r="E24" s="116"/>
      <c r="F24" s="119">
        <v>300</v>
      </c>
      <c r="G24" s="116"/>
      <c r="H24" s="119"/>
      <c r="I24" s="116"/>
      <c r="J24" s="119"/>
      <c r="K24" s="116"/>
      <c r="L24" s="119">
        <v>200</v>
      </c>
      <c r="M24" s="116"/>
      <c r="N24" s="119">
        <v>85</v>
      </c>
      <c r="O24" s="116"/>
      <c r="P24" s="120">
        <f t="shared" si="0"/>
        <v>200</v>
      </c>
      <c r="Q24" s="116"/>
      <c r="R24" s="120">
        <f t="shared" si="1"/>
        <v>85</v>
      </c>
      <c r="S24" s="116"/>
      <c r="T24" s="119">
        <v>115</v>
      </c>
      <c r="U24" s="116"/>
      <c r="V24" s="120">
        <f t="shared" si="2"/>
        <v>0</v>
      </c>
      <c r="W24" s="116"/>
      <c r="X24" s="120">
        <f t="shared" si="3"/>
        <v>115</v>
      </c>
      <c r="Y24" s="117"/>
      <c r="Z24" s="112"/>
    </row>
    <row r="25" spans="1:26" x14ac:dyDescent="0.2">
      <c r="A25" s="111"/>
      <c r="B25" s="115">
        <v>85</v>
      </c>
      <c r="C25" s="196" t="s">
        <v>724</v>
      </c>
      <c r="D25" s="119">
        <v>2</v>
      </c>
      <c r="E25" s="116"/>
      <c r="F25" s="119">
        <v>1684</v>
      </c>
      <c r="G25" s="116"/>
      <c r="H25" s="119"/>
      <c r="I25" s="116"/>
      <c r="J25" s="119">
        <v>24</v>
      </c>
      <c r="K25" s="116"/>
      <c r="L25" s="119"/>
      <c r="M25" s="116"/>
      <c r="N25" s="119">
        <v>82</v>
      </c>
      <c r="O25" s="116"/>
      <c r="P25" s="120">
        <f t="shared" si="0"/>
        <v>0</v>
      </c>
      <c r="Q25" s="116"/>
      <c r="R25" s="120">
        <f t="shared" si="1"/>
        <v>106</v>
      </c>
      <c r="S25" s="116"/>
      <c r="T25" s="119"/>
      <c r="U25" s="116"/>
      <c r="V25" s="120">
        <f t="shared" si="2"/>
        <v>106</v>
      </c>
      <c r="W25" s="116"/>
      <c r="X25" s="120">
        <f t="shared" si="3"/>
        <v>-106</v>
      </c>
      <c r="Y25" s="117"/>
      <c r="Z25" s="112"/>
    </row>
    <row r="26" spans="1:26" x14ac:dyDescent="0.2">
      <c r="A26" s="111"/>
      <c r="B26" s="115">
        <v>86</v>
      </c>
      <c r="C26" s="196" t="s">
        <v>725</v>
      </c>
      <c r="D26" s="119"/>
      <c r="E26" s="116"/>
      <c r="F26" s="119"/>
      <c r="G26" s="116"/>
      <c r="H26" s="119"/>
      <c r="I26" s="116"/>
      <c r="J26" s="119"/>
      <c r="K26" s="116"/>
      <c r="L26" s="119"/>
      <c r="M26" s="116"/>
      <c r="N26" s="119"/>
      <c r="O26" s="116"/>
      <c r="P26" s="120">
        <f t="shared" si="0"/>
        <v>0</v>
      </c>
      <c r="Q26" s="116"/>
      <c r="R26" s="120">
        <f t="shared" si="1"/>
        <v>0</v>
      </c>
      <c r="S26" s="116"/>
      <c r="T26" s="119"/>
      <c r="U26" s="116"/>
      <c r="V26" s="120">
        <f t="shared" si="2"/>
        <v>0</v>
      </c>
      <c r="W26" s="116"/>
      <c r="X26" s="120">
        <f t="shared" si="3"/>
        <v>0</v>
      </c>
      <c r="Y26" s="117"/>
      <c r="Z26" s="112"/>
    </row>
    <row r="27" spans="1:26" x14ac:dyDescent="0.2">
      <c r="A27" s="111"/>
      <c r="B27" s="115">
        <v>87</v>
      </c>
      <c r="C27" s="196" t="s">
        <v>819</v>
      </c>
      <c r="D27" s="119"/>
      <c r="E27" s="116"/>
      <c r="F27" s="119"/>
      <c r="G27" s="116"/>
      <c r="H27" s="119"/>
      <c r="I27" s="116"/>
      <c r="J27" s="119"/>
      <c r="K27" s="116"/>
      <c r="L27" s="119"/>
      <c r="M27" s="116"/>
      <c r="N27" s="119"/>
      <c r="O27" s="116"/>
      <c r="P27" s="120">
        <f t="shared" si="0"/>
        <v>0</v>
      </c>
      <c r="Q27" s="116"/>
      <c r="R27" s="120">
        <f t="shared" si="1"/>
        <v>0</v>
      </c>
      <c r="S27" s="116"/>
      <c r="T27" s="119"/>
      <c r="U27" s="116"/>
      <c r="V27" s="120">
        <f t="shared" si="2"/>
        <v>0</v>
      </c>
      <c r="W27" s="116"/>
      <c r="X27" s="120">
        <f t="shared" si="3"/>
        <v>0</v>
      </c>
      <c r="Y27" s="117"/>
      <c r="Z27" s="112"/>
    </row>
    <row r="28" spans="1:26" x14ac:dyDescent="0.2">
      <c r="A28" s="111"/>
      <c r="B28" s="115">
        <v>91</v>
      </c>
      <c r="C28" s="196" t="s">
        <v>729</v>
      </c>
      <c r="D28" s="119">
        <v>1</v>
      </c>
      <c r="E28" s="116"/>
      <c r="F28" s="119">
        <v>600</v>
      </c>
      <c r="G28" s="116"/>
      <c r="H28" s="119"/>
      <c r="I28" s="116"/>
      <c r="J28" s="119"/>
      <c r="K28" s="116"/>
      <c r="L28" s="119">
        <v>600</v>
      </c>
      <c r="M28" s="116"/>
      <c r="N28" s="119"/>
      <c r="O28" s="116"/>
      <c r="P28" s="120">
        <f t="shared" si="0"/>
        <v>600</v>
      </c>
      <c r="Q28" s="116"/>
      <c r="R28" s="120">
        <f t="shared" si="1"/>
        <v>0</v>
      </c>
      <c r="S28" s="116"/>
      <c r="T28" s="119">
        <v>600</v>
      </c>
      <c r="U28" s="116"/>
      <c r="V28" s="120">
        <f t="shared" si="2"/>
        <v>0</v>
      </c>
      <c r="W28" s="116"/>
      <c r="X28" s="120">
        <f t="shared" si="3"/>
        <v>600</v>
      </c>
      <c r="Y28" s="117"/>
      <c r="Z28" s="112"/>
    </row>
    <row r="29" spans="1:26" x14ac:dyDescent="0.2">
      <c r="A29" s="111"/>
      <c r="B29" s="115">
        <v>92</v>
      </c>
      <c r="C29" s="196" t="s">
        <v>730</v>
      </c>
      <c r="D29" s="119"/>
      <c r="E29" s="116"/>
      <c r="F29" s="119"/>
      <c r="G29" s="116"/>
      <c r="H29" s="119"/>
      <c r="I29" s="116"/>
      <c r="J29" s="119"/>
      <c r="K29" s="116"/>
      <c r="L29" s="119"/>
      <c r="M29" s="116"/>
      <c r="N29" s="119"/>
      <c r="O29" s="116"/>
      <c r="P29" s="120">
        <f t="shared" si="0"/>
        <v>0</v>
      </c>
      <c r="Q29" s="116"/>
      <c r="R29" s="120">
        <f t="shared" si="1"/>
        <v>0</v>
      </c>
      <c r="S29" s="116"/>
      <c r="T29" s="119"/>
      <c r="U29" s="116"/>
      <c r="V29" s="120">
        <f t="shared" si="2"/>
        <v>0</v>
      </c>
      <c r="W29" s="116"/>
      <c r="X29" s="120">
        <f t="shared" si="3"/>
        <v>0</v>
      </c>
      <c r="Y29" s="117"/>
      <c r="Z29" s="112"/>
    </row>
    <row r="30" spans="1:26" x14ac:dyDescent="0.2">
      <c r="A30" s="111"/>
      <c r="B30" s="115">
        <v>93</v>
      </c>
      <c r="C30" s="196" t="s">
        <v>591</v>
      </c>
      <c r="D30" s="119">
        <v>12</v>
      </c>
      <c r="E30" s="116"/>
      <c r="F30" s="119">
        <v>11526</v>
      </c>
      <c r="G30" s="116"/>
      <c r="H30" s="119">
        <v>9436</v>
      </c>
      <c r="I30" s="116"/>
      <c r="J30" s="119">
        <v>9740</v>
      </c>
      <c r="K30" s="116"/>
      <c r="L30" s="119">
        <v>1331</v>
      </c>
      <c r="M30" s="116"/>
      <c r="N30" s="119">
        <v>1187</v>
      </c>
      <c r="O30" s="116"/>
      <c r="P30" s="120">
        <f t="shared" si="0"/>
        <v>10767</v>
      </c>
      <c r="Q30" s="116"/>
      <c r="R30" s="120">
        <f t="shared" si="1"/>
        <v>10927</v>
      </c>
      <c r="S30" s="116"/>
      <c r="T30" s="119">
        <v>1431</v>
      </c>
      <c r="U30" s="116"/>
      <c r="V30" s="120">
        <f t="shared" si="2"/>
        <v>1591</v>
      </c>
      <c r="W30" s="116"/>
      <c r="X30" s="120">
        <f t="shared" si="3"/>
        <v>-160</v>
      </c>
      <c r="Y30" s="117"/>
      <c r="Z30" s="112"/>
    </row>
    <row r="31" spans="1:26" x14ac:dyDescent="0.2">
      <c r="A31" s="111"/>
      <c r="B31" s="115">
        <v>94</v>
      </c>
      <c r="C31" s="196" t="s">
        <v>731</v>
      </c>
      <c r="D31" s="119"/>
      <c r="E31" s="116"/>
      <c r="F31" s="119"/>
      <c r="G31" s="116"/>
      <c r="H31" s="119"/>
      <c r="I31" s="116"/>
      <c r="J31" s="119"/>
      <c r="K31" s="116"/>
      <c r="L31" s="119"/>
      <c r="M31" s="116"/>
      <c r="N31" s="119"/>
      <c r="O31" s="116"/>
      <c r="P31" s="120">
        <f t="shared" si="0"/>
        <v>0</v>
      </c>
      <c r="Q31" s="116"/>
      <c r="R31" s="120">
        <f t="shared" si="1"/>
        <v>0</v>
      </c>
      <c r="S31" s="116"/>
      <c r="T31" s="119"/>
      <c r="U31" s="116"/>
      <c r="V31" s="120">
        <f t="shared" si="2"/>
        <v>0</v>
      </c>
      <c r="W31" s="116"/>
      <c r="X31" s="120">
        <f t="shared" si="3"/>
        <v>0</v>
      </c>
      <c r="Y31" s="117"/>
      <c r="Z31" s="112"/>
    </row>
    <row r="32" spans="1:26" x14ac:dyDescent="0.2">
      <c r="A32" s="111"/>
      <c r="B32" s="115">
        <v>95</v>
      </c>
      <c r="C32" s="196" t="s">
        <v>820</v>
      </c>
      <c r="D32" s="119"/>
      <c r="E32" s="116"/>
      <c r="F32" s="119"/>
      <c r="G32" s="116"/>
      <c r="H32" s="119"/>
      <c r="I32" s="116"/>
      <c r="J32" s="178"/>
      <c r="K32" s="116"/>
      <c r="L32" s="119"/>
      <c r="M32" s="116"/>
      <c r="N32" s="119"/>
      <c r="O32" s="116"/>
      <c r="P32" s="120">
        <f t="shared" si="0"/>
        <v>0</v>
      </c>
      <c r="Q32" s="116"/>
      <c r="R32" s="120">
        <f t="shared" si="1"/>
        <v>0</v>
      </c>
      <c r="S32" s="116"/>
      <c r="T32" s="119"/>
      <c r="U32" s="116"/>
      <c r="V32" s="120">
        <f t="shared" si="2"/>
        <v>0</v>
      </c>
      <c r="W32" s="116"/>
      <c r="X32" s="120">
        <f t="shared" si="3"/>
        <v>0</v>
      </c>
      <c r="Y32" s="117"/>
      <c r="Z32" s="112"/>
    </row>
    <row r="33" spans="1:26" x14ac:dyDescent="0.2">
      <c r="A33" s="111"/>
      <c r="B33" s="115">
        <v>96</v>
      </c>
      <c r="C33" s="196" t="s">
        <v>821</v>
      </c>
      <c r="D33" s="119"/>
      <c r="E33" s="116"/>
      <c r="F33" s="119"/>
      <c r="G33" s="116"/>
      <c r="H33" s="119"/>
      <c r="I33" s="116"/>
      <c r="J33" s="119"/>
      <c r="K33" s="116"/>
      <c r="L33" s="119"/>
      <c r="M33" s="116"/>
      <c r="N33" s="119"/>
      <c r="O33" s="116"/>
      <c r="P33" s="120">
        <f t="shared" si="0"/>
        <v>0</v>
      </c>
      <c r="Q33" s="116"/>
      <c r="R33" s="120">
        <f t="shared" si="1"/>
        <v>0</v>
      </c>
      <c r="S33" s="116"/>
      <c r="T33" s="119"/>
      <c r="U33" s="116"/>
      <c r="V33" s="120">
        <f t="shared" si="2"/>
        <v>0</v>
      </c>
      <c r="W33" s="116"/>
      <c r="X33" s="120">
        <f t="shared" si="3"/>
        <v>0</v>
      </c>
      <c r="Y33" s="117"/>
      <c r="Z33" s="112"/>
    </row>
    <row r="34" spans="1:26" x14ac:dyDescent="0.2">
      <c r="A34" s="111"/>
      <c r="B34" s="115">
        <v>97</v>
      </c>
      <c r="C34" s="196" t="s">
        <v>822</v>
      </c>
      <c r="D34" s="119">
        <v>1</v>
      </c>
      <c r="E34" s="116"/>
      <c r="F34" s="119">
        <v>34000</v>
      </c>
      <c r="G34" s="116"/>
      <c r="H34" s="119">
        <f>26237+1</f>
        <v>26238</v>
      </c>
      <c r="I34" s="116"/>
      <c r="J34" s="119">
        <f>25156-1</f>
        <v>25155</v>
      </c>
      <c r="K34" s="116"/>
      <c r="L34" s="119">
        <v>344</v>
      </c>
      <c r="M34" s="116"/>
      <c r="N34" s="119">
        <v>1613</v>
      </c>
      <c r="O34" s="116"/>
      <c r="P34" s="120">
        <f t="shared" si="0"/>
        <v>26582</v>
      </c>
      <c r="Q34" s="116"/>
      <c r="R34" s="120">
        <f t="shared" si="1"/>
        <v>26768</v>
      </c>
      <c r="S34" s="116"/>
      <c r="T34" s="119"/>
      <c r="U34" s="116"/>
      <c r="V34" s="120">
        <f t="shared" si="2"/>
        <v>186</v>
      </c>
      <c r="W34" s="116"/>
      <c r="X34" s="120">
        <f t="shared" si="3"/>
        <v>-186</v>
      </c>
      <c r="Y34" s="117"/>
      <c r="Z34" s="112"/>
    </row>
    <row r="35" spans="1:26" x14ac:dyDescent="0.2">
      <c r="A35" s="111"/>
      <c r="B35" s="115">
        <v>98</v>
      </c>
      <c r="C35" s="196" t="s">
        <v>823</v>
      </c>
      <c r="D35" s="119"/>
      <c r="E35" s="116"/>
      <c r="F35" s="119"/>
      <c r="G35" s="116"/>
      <c r="H35" s="119"/>
      <c r="I35" s="116"/>
      <c r="J35" s="119"/>
      <c r="K35" s="116"/>
      <c r="L35" s="119"/>
      <c r="M35" s="116"/>
      <c r="N35" s="119"/>
      <c r="O35" s="116"/>
      <c r="P35" s="120">
        <f t="shared" si="0"/>
        <v>0</v>
      </c>
      <c r="Q35" s="116"/>
      <c r="R35" s="120">
        <f t="shared" si="1"/>
        <v>0</v>
      </c>
      <c r="S35" s="116"/>
      <c r="T35" s="119"/>
      <c r="U35" s="116"/>
      <c r="V35" s="120">
        <f t="shared" si="2"/>
        <v>0</v>
      </c>
      <c r="W35" s="116"/>
      <c r="X35" s="120">
        <f t="shared" si="3"/>
        <v>0</v>
      </c>
      <c r="Y35" s="117"/>
      <c r="Z35" s="112"/>
    </row>
    <row r="36" spans="1:26" x14ac:dyDescent="0.2">
      <c r="A36" s="111"/>
      <c r="B36" s="115">
        <v>99</v>
      </c>
      <c r="C36" s="196" t="s">
        <v>824</v>
      </c>
      <c r="D36" s="119"/>
      <c r="E36" s="116"/>
      <c r="F36" s="119"/>
      <c r="G36" s="116"/>
      <c r="H36" s="119"/>
      <c r="I36" s="116"/>
      <c r="J36" s="119"/>
      <c r="K36" s="116"/>
      <c r="L36" s="119"/>
      <c r="M36" s="116"/>
      <c r="N36" s="119"/>
      <c r="O36" s="116"/>
      <c r="P36" s="120">
        <f t="shared" si="0"/>
        <v>0</v>
      </c>
      <c r="Q36" s="116"/>
      <c r="R36" s="120">
        <f t="shared" si="1"/>
        <v>0</v>
      </c>
      <c r="S36" s="116"/>
      <c r="T36" s="119"/>
      <c r="U36" s="116"/>
      <c r="V36" s="120">
        <f t="shared" si="2"/>
        <v>0</v>
      </c>
      <c r="W36" s="116"/>
      <c r="X36" s="120">
        <f t="shared" si="3"/>
        <v>0</v>
      </c>
      <c r="Y36" s="117"/>
      <c r="Z36" s="112"/>
    </row>
    <row r="37" spans="1:26" ht="13.5" thickBot="1" x14ac:dyDescent="0.25">
      <c r="A37" s="111"/>
      <c r="B37" s="115"/>
      <c r="C37" s="116" t="s">
        <v>766</v>
      </c>
      <c r="D37" s="125">
        <f>SUM(D8:D36)</f>
        <v>141</v>
      </c>
      <c r="E37" s="116"/>
      <c r="F37" s="219">
        <f>SUM(F8:F36)</f>
        <v>193500</v>
      </c>
      <c r="G37" s="116"/>
      <c r="H37" s="219">
        <f>SUM(H8:H36)</f>
        <v>99994</v>
      </c>
      <c r="I37" s="116"/>
      <c r="J37" s="219">
        <f>SUM(J8:J36)</f>
        <v>93850</v>
      </c>
      <c r="K37" s="116"/>
      <c r="L37" s="219">
        <f>SUM(L8:L36)</f>
        <v>7133</v>
      </c>
      <c r="M37" s="116"/>
      <c r="N37" s="219">
        <f>SUM(N8:N36)</f>
        <v>16784</v>
      </c>
      <c r="O37" s="116"/>
      <c r="P37" s="219">
        <f>SUM(P8:P36)</f>
        <v>107127</v>
      </c>
      <c r="Q37" s="116"/>
      <c r="R37" s="219">
        <f>SUM(R8:R36)</f>
        <v>110634</v>
      </c>
      <c r="S37" s="116"/>
      <c r="T37" s="219">
        <f>SUM(T8:T36)</f>
        <v>13835</v>
      </c>
      <c r="U37" s="116"/>
      <c r="V37" s="219">
        <f>SUM(V8:V36)</f>
        <v>17342</v>
      </c>
      <c r="W37" s="116"/>
      <c r="X37" s="219">
        <f>SUM(X8:X36)</f>
        <v>-3507</v>
      </c>
      <c r="Y37" s="117"/>
      <c r="Z37" s="112"/>
    </row>
    <row r="38" spans="1:26" ht="13.5" thickTop="1" x14ac:dyDescent="0.2">
      <c r="A38" s="111"/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7"/>
      <c r="Z38" s="112"/>
    </row>
    <row r="39" spans="1:26" x14ac:dyDescent="0.2">
      <c r="A39" s="111"/>
      <c r="B39" s="126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80"/>
      <c r="Z39" s="112"/>
    </row>
    <row r="40" spans="1:26" x14ac:dyDescent="0.2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2"/>
    </row>
    <row r="41" spans="1:26" ht="13.5" thickBot="1" x14ac:dyDescent="0.25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9"/>
    </row>
    <row r="42" spans="1:26" ht="13.5" thickTop="1" x14ac:dyDescent="0.2"/>
    <row r="305" spans="2:25" ht="18" x14ac:dyDescent="0.2">
      <c r="B305" s="182">
        <f t="shared" ref="B305:Q320" si="4">B1</f>
        <v>0</v>
      </c>
      <c r="C305" s="182">
        <f t="shared" si="4"/>
        <v>0</v>
      </c>
      <c r="D305" s="182">
        <f t="shared" si="4"/>
        <v>0</v>
      </c>
      <c r="E305" s="637" t="str">
        <f t="shared" si="4"/>
        <v>מ"א עמק הירדן</v>
      </c>
      <c r="F305" s="638"/>
      <c r="G305" s="638"/>
      <c r="H305" s="638"/>
      <c r="I305" s="638"/>
      <c r="J305" s="638"/>
      <c r="K305" s="638"/>
      <c r="L305" s="638"/>
      <c r="M305" s="638"/>
      <c r="N305" s="638"/>
      <c r="O305" s="638"/>
      <c r="P305" s="638"/>
      <c r="Q305" s="638"/>
      <c r="R305" s="638"/>
      <c r="S305" s="638"/>
      <c r="T305" s="638"/>
      <c r="U305" s="130">
        <f t="shared" ref="U305:Y320" si="5">U1</f>
        <v>0</v>
      </c>
      <c r="V305" s="130">
        <f t="shared" si="5"/>
        <v>0</v>
      </c>
      <c r="W305" s="130">
        <f t="shared" si="5"/>
        <v>0</v>
      </c>
      <c r="X305" s="130">
        <f t="shared" si="5"/>
        <v>0</v>
      </c>
      <c r="Y305" s="130">
        <f t="shared" si="5"/>
        <v>0</v>
      </c>
    </row>
    <row r="306" spans="2:25" ht="18" x14ac:dyDescent="0.2">
      <c r="B306" s="182">
        <f t="shared" si="4"/>
        <v>0</v>
      </c>
      <c r="C306" s="182">
        <f t="shared" si="4"/>
        <v>0</v>
      </c>
      <c r="D306" s="182">
        <f t="shared" si="4"/>
        <v>0</v>
      </c>
      <c r="E306" s="637" t="str">
        <f t="shared" si="4"/>
        <v>ריכוז תב"רים לפי פרקי תקציב באלפי ₪</v>
      </c>
      <c r="F306" s="638"/>
      <c r="G306" s="638"/>
      <c r="H306" s="638"/>
      <c r="I306" s="638"/>
      <c r="J306" s="638"/>
      <c r="K306" s="638"/>
      <c r="L306" s="638"/>
      <c r="M306" s="638"/>
      <c r="N306" s="638"/>
      <c r="O306" s="638"/>
      <c r="P306" s="638"/>
      <c r="Q306" s="638"/>
      <c r="R306" s="638"/>
      <c r="S306" s="638"/>
      <c r="T306" s="638"/>
      <c r="U306" s="130">
        <f t="shared" si="5"/>
        <v>0</v>
      </c>
      <c r="V306" s="130">
        <f t="shared" si="5"/>
        <v>0</v>
      </c>
      <c r="W306" s="130">
        <f t="shared" si="5"/>
        <v>0</v>
      </c>
      <c r="X306" s="130">
        <f t="shared" si="5"/>
        <v>0</v>
      </c>
      <c r="Y306" s="130">
        <f t="shared" si="5"/>
        <v>0</v>
      </c>
    </row>
    <row r="307" spans="2:25" ht="18" x14ac:dyDescent="0.2">
      <c r="B307" s="182">
        <f t="shared" si="4"/>
        <v>0</v>
      </c>
      <c r="C307" s="182">
        <f t="shared" si="4"/>
        <v>0</v>
      </c>
      <c r="D307" s="182">
        <f t="shared" si="4"/>
        <v>0</v>
      </c>
      <c r="E307" s="637" t="str">
        <f t="shared" si="4"/>
        <v>לתקופה: רבעון 1, שנת 2017</v>
      </c>
      <c r="F307" s="638"/>
      <c r="G307" s="638"/>
      <c r="H307" s="638"/>
      <c r="I307" s="638"/>
      <c r="J307" s="638"/>
      <c r="K307" s="638"/>
      <c r="L307" s="638"/>
      <c r="M307" s="638"/>
      <c r="N307" s="638"/>
      <c r="O307" s="638"/>
      <c r="P307" s="638"/>
      <c r="Q307" s="638"/>
      <c r="R307" s="638"/>
      <c r="S307" s="638"/>
      <c r="T307" s="638"/>
      <c r="U307" s="130">
        <f t="shared" si="5"/>
        <v>0</v>
      </c>
      <c r="V307" s="130">
        <f t="shared" si="5"/>
        <v>0</v>
      </c>
      <c r="W307" s="130">
        <f t="shared" si="5"/>
        <v>0</v>
      </c>
      <c r="X307" s="130">
        <f t="shared" si="5"/>
        <v>0</v>
      </c>
      <c r="Y307" s="130">
        <f t="shared" si="5"/>
        <v>0</v>
      </c>
    </row>
    <row r="308" spans="2:25" x14ac:dyDescent="0.2">
      <c r="B308" s="220">
        <f t="shared" si="4"/>
        <v>0</v>
      </c>
      <c r="C308" s="220">
        <f t="shared" si="4"/>
        <v>0</v>
      </c>
      <c r="D308" s="220">
        <f t="shared" si="4"/>
        <v>0</v>
      </c>
      <c r="E308" s="220">
        <f t="shared" si="4"/>
        <v>0</v>
      </c>
      <c r="F308" s="220">
        <f t="shared" si="4"/>
        <v>0</v>
      </c>
      <c r="G308" s="220">
        <f t="shared" si="4"/>
        <v>0</v>
      </c>
      <c r="H308" s="220">
        <f t="shared" si="4"/>
        <v>0</v>
      </c>
      <c r="I308" s="220">
        <f t="shared" si="4"/>
        <v>0</v>
      </c>
      <c r="J308" s="220">
        <f t="shared" si="4"/>
        <v>0</v>
      </c>
      <c r="K308" s="220">
        <f t="shared" si="4"/>
        <v>0</v>
      </c>
      <c r="L308" s="220">
        <f t="shared" si="4"/>
        <v>0</v>
      </c>
      <c r="M308" s="220">
        <f t="shared" si="4"/>
        <v>0</v>
      </c>
      <c r="N308" s="220">
        <f t="shared" si="4"/>
        <v>0</v>
      </c>
      <c r="O308" s="220">
        <f t="shared" si="4"/>
        <v>0</v>
      </c>
      <c r="P308" s="220">
        <f t="shared" si="4"/>
        <v>0</v>
      </c>
      <c r="Q308" s="220">
        <f t="shared" si="4"/>
        <v>0</v>
      </c>
      <c r="R308" s="220">
        <f t="shared" ref="R308:T320" si="6">R4</f>
        <v>0</v>
      </c>
      <c r="S308" s="220">
        <f t="shared" si="6"/>
        <v>0</v>
      </c>
      <c r="T308" s="220">
        <f t="shared" si="6"/>
        <v>0</v>
      </c>
      <c r="U308" s="220">
        <f t="shared" si="5"/>
        <v>0</v>
      </c>
      <c r="V308" s="220">
        <f t="shared" si="5"/>
        <v>0</v>
      </c>
      <c r="W308" s="220">
        <f t="shared" si="5"/>
        <v>0</v>
      </c>
      <c r="X308" s="220">
        <f t="shared" si="5"/>
        <v>0</v>
      </c>
      <c r="Y308" s="220">
        <f t="shared" si="5"/>
        <v>0</v>
      </c>
    </row>
    <row r="309" spans="2:25" x14ac:dyDescent="0.2">
      <c r="B309" s="220">
        <f t="shared" si="4"/>
        <v>0</v>
      </c>
      <c r="C309" s="220">
        <f t="shared" si="4"/>
        <v>0</v>
      </c>
      <c r="D309" s="220">
        <f t="shared" si="4"/>
        <v>0</v>
      </c>
      <c r="E309" s="220">
        <f t="shared" si="4"/>
        <v>0</v>
      </c>
      <c r="F309" s="220">
        <f t="shared" si="4"/>
        <v>0</v>
      </c>
      <c r="G309" s="220">
        <f t="shared" si="4"/>
        <v>0</v>
      </c>
      <c r="H309" s="220">
        <f t="shared" si="4"/>
        <v>0</v>
      </c>
      <c r="I309" s="220">
        <f t="shared" si="4"/>
        <v>0</v>
      </c>
      <c r="J309" s="220">
        <f t="shared" si="4"/>
        <v>0</v>
      </c>
      <c r="K309" s="220">
        <f t="shared" si="4"/>
        <v>0</v>
      </c>
      <c r="L309" s="220">
        <f t="shared" si="4"/>
        <v>0</v>
      </c>
      <c r="M309" s="220">
        <f t="shared" si="4"/>
        <v>0</v>
      </c>
      <c r="N309" s="220">
        <f t="shared" si="4"/>
        <v>0</v>
      </c>
      <c r="O309" s="220">
        <f t="shared" si="4"/>
        <v>0</v>
      </c>
      <c r="P309" s="220">
        <f t="shared" si="4"/>
        <v>0</v>
      </c>
      <c r="Q309" s="220">
        <f t="shared" si="4"/>
        <v>0</v>
      </c>
      <c r="R309" s="220">
        <f t="shared" si="6"/>
        <v>0</v>
      </c>
      <c r="S309" s="220">
        <f t="shared" si="6"/>
        <v>0</v>
      </c>
      <c r="T309" s="220">
        <f t="shared" si="6"/>
        <v>0</v>
      </c>
      <c r="U309" s="220">
        <f t="shared" si="5"/>
        <v>0</v>
      </c>
      <c r="V309" s="220">
        <f t="shared" si="5"/>
        <v>0</v>
      </c>
      <c r="W309" s="220">
        <f t="shared" si="5"/>
        <v>0</v>
      </c>
      <c r="X309" s="220">
        <f t="shared" si="5"/>
        <v>0</v>
      </c>
      <c r="Y309" s="220">
        <f t="shared" si="5"/>
        <v>0</v>
      </c>
    </row>
    <row r="310" spans="2:25" ht="38.25" x14ac:dyDescent="0.2">
      <c r="B310" s="132">
        <f t="shared" si="4"/>
        <v>0</v>
      </c>
      <c r="C310" s="132" t="str">
        <f t="shared" si="4"/>
        <v>הפרק התקציבי</v>
      </c>
      <c r="D310" s="132" t="str">
        <f t="shared" si="4"/>
        <v>סה"כ תב"רים</v>
      </c>
      <c r="E310" s="132">
        <f t="shared" si="4"/>
        <v>0</v>
      </c>
      <c r="F310" s="132" t="str">
        <f t="shared" si="4"/>
        <v>התקציב המאושר</v>
      </c>
      <c r="G310" s="132">
        <f t="shared" si="4"/>
        <v>0</v>
      </c>
      <c r="H310" s="132" t="str">
        <f t="shared" si="4"/>
        <v>ביצוע  שנה קודמת הכנסות</v>
      </c>
      <c r="I310" s="132">
        <f t="shared" si="4"/>
        <v>0</v>
      </c>
      <c r="J310" s="132" t="str">
        <f t="shared" si="4"/>
        <v>ביצוע שנה קודמת הוצאות</v>
      </c>
      <c r="K310" s="132">
        <f t="shared" si="4"/>
        <v>0</v>
      </c>
      <c r="L310" s="132" t="str">
        <f t="shared" si="4"/>
        <v>ביצוע תקופה זאת הכנסות</v>
      </c>
      <c r="M310" s="132">
        <f t="shared" si="4"/>
        <v>0</v>
      </c>
      <c r="N310" s="132" t="str">
        <f t="shared" si="4"/>
        <v>ביצוע תקופה זאת הוצאות</v>
      </c>
      <c r="O310" s="132">
        <f t="shared" si="4"/>
        <v>0</v>
      </c>
      <c r="P310" s="132" t="str">
        <f t="shared" si="4"/>
        <v>ביצוע מצטבר הכנסות</v>
      </c>
      <c r="Q310" s="132">
        <f t="shared" si="4"/>
        <v>0</v>
      </c>
      <c r="R310" s="132" t="str">
        <f t="shared" si="6"/>
        <v>ביצוע מצטבר הוצאות</v>
      </c>
      <c r="S310" s="132">
        <f t="shared" si="6"/>
        <v>0</v>
      </c>
      <c r="T310" s="132" t="str">
        <f t="shared" si="6"/>
        <v>ביצוע מצטבר עודף הכנסות</v>
      </c>
      <c r="U310" s="132">
        <f t="shared" si="5"/>
        <v>0</v>
      </c>
      <c r="V310" s="132" t="str">
        <f t="shared" si="5"/>
        <v>ביצוע מצטבר עודף הוצאות</v>
      </c>
      <c r="W310" s="132">
        <f t="shared" si="5"/>
        <v>0</v>
      </c>
      <c r="X310" s="132" t="str">
        <f t="shared" si="5"/>
        <v>מצטבר נטו עודף/גרעון</v>
      </c>
      <c r="Y310" s="132">
        <f t="shared" si="5"/>
        <v>0</v>
      </c>
    </row>
    <row r="311" spans="2:25" x14ac:dyDescent="0.2">
      <c r="B311" s="133">
        <f t="shared" si="4"/>
        <v>0</v>
      </c>
      <c r="C311" s="134">
        <f t="shared" si="4"/>
        <v>0</v>
      </c>
      <c r="D311" s="134">
        <f t="shared" si="4"/>
        <v>0</v>
      </c>
      <c r="E311" s="134">
        <f t="shared" si="4"/>
        <v>0</v>
      </c>
      <c r="F311" s="134">
        <f t="shared" si="4"/>
        <v>0</v>
      </c>
      <c r="G311" s="134">
        <f t="shared" si="4"/>
        <v>0</v>
      </c>
      <c r="H311" s="134">
        <f t="shared" si="4"/>
        <v>0</v>
      </c>
      <c r="I311" s="134">
        <f t="shared" si="4"/>
        <v>0</v>
      </c>
      <c r="J311" s="134">
        <f t="shared" si="4"/>
        <v>0</v>
      </c>
      <c r="K311" s="134">
        <f t="shared" si="4"/>
        <v>0</v>
      </c>
      <c r="L311" s="134">
        <f t="shared" si="4"/>
        <v>0</v>
      </c>
      <c r="M311" s="134">
        <f t="shared" si="4"/>
        <v>0</v>
      </c>
      <c r="N311" s="134">
        <f t="shared" si="4"/>
        <v>0</v>
      </c>
      <c r="O311" s="134">
        <f t="shared" si="4"/>
        <v>0</v>
      </c>
      <c r="P311" s="134">
        <f t="shared" si="4"/>
        <v>0</v>
      </c>
      <c r="Q311" s="134">
        <f t="shared" si="4"/>
        <v>0</v>
      </c>
      <c r="R311" s="134">
        <f t="shared" si="6"/>
        <v>0</v>
      </c>
      <c r="S311" s="134">
        <f t="shared" si="6"/>
        <v>0</v>
      </c>
      <c r="T311" s="134">
        <f t="shared" si="6"/>
        <v>0</v>
      </c>
      <c r="U311" s="134">
        <f t="shared" si="5"/>
        <v>0</v>
      </c>
      <c r="V311" s="134">
        <f t="shared" si="5"/>
        <v>0</v>
      </c>
      <c r="W311" s="134">
        <f t="shared" si="5"/>
        <v>0</v>
      </c>
      <c r="X311" s="134">
        <f t="shared" si="5"/>
        <v>0</v>
      </c>
      <c r="Y311" s="135">
        <f t="shared" si="5"/>
        <v>0</v>
      </c>
    </row>
    <row r="312" spans="2:25" x14ac:dyDescent="0.2">
      <c r="B312" s="133">
        <f t="shared" si="4"/>
        <v>61</v>
      </c>
      <c r="C312" s="203" t="str">
        <f t="shared" si="4"/>
        <v>מנהל כללי</v>
      </c>
      <c r="D312" s="184">
        <f t="shared" si="4"/>
        <v>0</v>
      </c>
      <c r="E312" s="134">
        <f t="shared" si="4"/>
        <v>0</v>
      </c>
      <c r="F312" s="184">
        <f t="shared" si="4"/>
        <v>0</v>
      </c>
      <c r="G312" s="134">
        <f t="shared" si="4"/>
        <v>0</v>
      </c>
      <c r="H312" s="184">
        <f t="shared" si="4"/>
        <v>0</v>
      </c>
      <c r="I312" s="134">
        <f t="shared" si="4"/>
        <v>0</v>
      </c>
      <c r="J312" s="184">
        <f t="shared" si="4"/>
        <v>0</v>
      </c>
      <c r="K312" s="134">
        <f t="shared" si="4"/>
        <v>0</v>
      </c>
      <c r="L312" s="184">
        <f t="shared" si="4"/>
        <v>0</v>
      </c>
      <c r="M312" s="134">
        <f t="shared" si="4"/>
        <v>0</v>
      </c>
      <c r="N312" s="184">
        <f t="shared" si="4"/>
        <v>0</v>
      </c>
      <c r="O312" s="134">
        <f t="shared" si="4"/>
        <v>0</v>
      </c>
      <c r="P312" s="138">
        <f t="shared" si="4"/>
        <v>0</v>
      </c>
      <c r="Q312" s="134">
        <f t="shared" si="4"/>
        <v>0</v>
      </c>
      <c r="R312" s="138">
        <f t="shared" si="6"/>
        <v>0</v>
      </c>
      <c r="S312" s="134">
        <f t="shared" si="6"/>
        <v>0</v>
      </c>
      <c r="T312" s="184">
        <f t="shared" si="6"/>
        <v>0</v>
      </c>
      <c r="U312" s="134">
        <f t="shared" si="5"/>
        <v>0</v>
      </c>
      <c r="V312" s="138">
        <f t="shared" si="5"/>
        <v>0</v>
      </c>
      <c r="W312" s="134">
        <f t="shared" si="5"/>
        <v>0</v>
      </c>
      <c r="X312" s="138">
        <f t="shared" si="5"/>
        <v>0</v>
      </c>
      <c r="Y312" s="135">
        <f t="shared" si="5"/>
        <v>0</v>
      </c>
    </row>
    <row r="313" spans="2:25" x14ac:dyDescent="0.2">
      <c r="B313" s="133">
        <f t="shared" si="4"/>
        <v>62</v>
      </c>
      <c r="C313" s="203" t="str">
        <f t="shared" si="4"/>
        <v>מנהל כספי</v>
      </c>
      <c r="D313" s="185">
        <f t="shared" si="4"/>
        <v>0</v>
      </c>
      <c r="E313" s="134">
        <f t="shared" si="4"/>
        <v>0</v>
      </c>
      <c r="F313" s="185">
        <f t="shared" si="4"/>
        <v>0</v>
      </c>
      <c r="G313" s="134">
        <f t="shared" si="4"/>
        <v>0</v>
      </c>
      <c r="H313" s="185">
        <f t="shared" si="4"/>
        <v>0</v>
      </c>
      <c r="I313" s="134">
        <f t="shared" si="4"/>
        <v>0</v>
      </c>
      <c r="J313" s="185">
        <f t="shared" si="4"/>
        <v>0</v>
      </c>
      <c r="K313" s="134">
        <f t="shared" si="4"/>
        <v>0</v>
      </c>
      <c r="L313" s="185">
        <f t="shared" si="4"/>
        <v>0</v>
      </c>
      <c r="M313" s="134">
        <f t="shared" si="4"/>
        <v>0</v>
      </c>
      <c r="N313" s="185">
        <f t="shared" si="4"/>
        <v>0</v>
      </c>
      <c r="O313" s="134">
        <f t="shared" si="4"/>
        <v>0</v>
      </c>
      <c r="P313" s="141">
        <f t="shared" si="4"/>
        <v>0</v>
      </c>
      <c r="Q313" s="134">
        <f t="shared" si="4"/>
        <v>0</v>
      </c>
      <c r="R313" s="141">
        <f t="shared" si="6"/>
        <v>0</v>
      </c>
      <c r="S313" s="134">
        <f t="shared" si="6"/>
        <v>0</v>
      </c>
      <c r="T313" s="185">
        <f t="shared" si="6"/>
        <v>0</v>
      </c>
      <c r="U313" s="134">
        <f t="shared" si="5"/>
        <v>0</v>
      </c>
      <c r="V313" s="141">
        <f t="shared" si="5"/>
        <v>0</v>
      </c>
      <c r="W313" s="134">
        <f t="shared" si="5"/>
        <v>0</v>
      </c>
      <c r="X313" s="141">
        <f t="shared" si="5"/>
        <v>0</v>
      </c>
      <c r="Y313" s="135">
        <f t="shared" si="5"/>
        <v>0</v>
      </c>
    </row>
    <row r="314" spans="2:25" x14ac:dyDescent="0.2">
      <c r="B314" s="133">
        <f t="shared" si="4"/>
        <v>63</v>
      </c>
      <c r="C314" s="203" t="str">
        <f t="shared" si="4"/>
        <v>הוצאות מימון</v>
      </c>
      <c r="D314" s="185">
        <f t="shared" si="4"/>
        <v>0</v>
      </c>
      <c r="E314" s="134">
        <f t="shared" si="4"/>
        <v>0</v>
      </c>
      <c r="F314" s="185">
        <f t="shared" si="4"/>
        <v>0</v>
      </c>
      <c r="G314" s="134">
        <f t="shared" si="4"/>
        <v>0</v>
      </c>
      <c r="H314" s="185">
        <f t="shared" si="4"/>
        <v>0</v>
      </c>
      <c r="I314" s="134">
        <f t="shared" si="4"/>
        <v>0</v>
      </c>
      <c r="J314" s="185">
        <f t="shared" si="4"/>
        <v>0</v>
      </c>
      <c r="K314" s="134">
        <f t="shared" si="4"/>
        <v>0</v>
      </c>
      <c r="L314" s="185">
        <f t="shared" si="4"/>
        <v>0</v>
      </c>
      <c r="M314" s="134">
        <f t="shared" si="4"/>
        <v>0</v>
      </c>
      <c r="N314" s="185">
        <f t="shared" si="4"/>
        <v>0</v>
      </c>
      <c r="O314" s="134">
        <f t="shared" si="4"/>
        <v>0</v>
      </c>
      <c r="P314" s="141">
        <f t="shared" si="4"/>
        <v>0</v>
      </c>
      <c r="Q314" s="134">
        <f t="shared" si="4"/>
        <v>0</v>
      </c>
      <c r="R314" s="141">
        <f t="shared" si="6"/>
        <v>0</v>
      </c>
      <c r="S314" s="134">
        <f t="shared" si="6"/>
        <v>0</v>
      </c>
      <c r="T314" s="185">
        <f t="shared" si="6"/>
        <v>0</v>
      </c>
      <c r="U314" s="134">
        <f t="shared" si="5"/>
        <v>0</v>
      </c>
      <c r="V314" s="141">
        <f t="shared" si="5"/>
        <v>0</v>
      </c>
      <c r="W314" s="134">
        <f t="shared" si="5"/>
        <v>0</v>
      </c>
      <c r="X314" s="141">
        <f t="shared" si="5"/>
        <v>0</v>
      </c>
      <c r="Y314" s="135">
        <f t="shared" si="5"/>
        <v>0</v>
      </c>
    </row>
    <row r="315" spans="2:25" x14ac:dyDescent="0.2">
      <c r="B315" s="133">
        <f t="shared" si="4"/>
        <v>64</v>
      </c>
      <c r="C315" s="203" t="str">
        <f t="shared" si="4"/>
        <v>פרעון מלוות</v>
      </c>
      <c r="D315" s="185">
        <f t="shared" si="4"/>
        <v>0</v>
      </c>
      <c r="E315" s="134">
        <f t="shared" si="4"/>
        <v>0</v>
      </c>
      <c r="F315" s="185">
        <f t="shared" si="4"/>
        <v>0</v>
      </c>
      <c r="G315" s="134">
        <f t="shared" si="4"/>
        <v>0</v>
      </c>
      <c r="H315" s="185">
        <f t="shared" si="4"/>
        <v>0</v>
      </c>
      <c r="I315" s="134">
        <f t="shared" si="4"/>
        <v>0</v>
      </c>
      <c r="J315" s="185">
        <f t="shared" si="4"/>
        <v>0</v>
      </c>
      <c r="K315" s="134">
        <f t="shared" si="4"/>
        <v>0</v>
      </c>
      <c r="L315" s="185">
        <f t="shared" si="4"/>
        <v>0</v>
      </c>
      <c r="M315" s="134">
        <f t="shared" si="4"/>
        <v>0</v>
      </c>
      <c r="N315" s="185">
        <f t="shared" si="4"/>
        <v>0</v>
      </c>
      <c r="O315" s="134">
        <f t="shared" si="4"/>
        <v>0</v>
      </c>
      <c r="P315" s="141">
        <f t="shared" si="4"/>
        <v>0</v>
      </c>
      <c r="Q315" s="134">
        <f t="shared" si="4"/>
        <v>0</v>
      </c>
      <c r="R315" s="141">
        <f t="shared" si="6"/>
        <v>0</v>
      </c>
      <c r="S315" s="134">
        <f t="shared" si="6"/>
        <v>0</v>
      </c>
      <c r="T315" s="185">
        <f t="shared" si="6"/>
        <v>0</v>
      </c>
      <c r="U315" s="134">
        <f t="shared" si="5"/>
        <v>0</v>
      </c>
      <c r="V315" s="141">
        <f t="shared" si="5"/>
        <v>0</v>
      </c>
      <c r="W315" s="134">
        <f t="shared" si="5"/>
        <v>0</v>
      </c>
      <c r="X315" s="141">
        <f t="shared" si="5"/>
        <v>0</v>
      </c>
      <c r="Y315" s="135">
        <f t="shared" si="5"/>
        <v>0</v>
      </c>
    </row>
    <row r="316" spans="2:25" x14ac:dyDescent="0.2">
      <c r="B316" s="133">
        <f t="shared" si="4"/>
        <v>71</v>
      </c>
      <c r="C316" s="203" t="str">
        <f t="shared" si="4"/>
        <v>תברואה</v>
      </c>
      <c r="D316" s="185">
        <f t="shared" si="4"/>
        <v>6</v>
      </c>
      <c r="E316" s="134">
        <f t="shared" si="4"/>
        <v>0</v>
      </c>
      <c r="F316" s="185">
        <f t="shared" si="4"/>
        <v>25631</v>
      </c>
      <c r="G316" s="134">
        <f t="shared" si="4"/>
        <v>0</v>
      </c>
      <c r="H316" s="185">
        <f t="shared" si="4"/>
        <v>10913</v>
      </c>
      <c r="I316" s="134">
        <f t="shared" si="4"/>
        <v>0</v>
      </c>
      <c r="J316" s="185">
        <f t="shared" si="4"/>
        <v>8537</v>
      </c>
      <c r="K316" s="134">
        <f t="shared" si="4"/>
        <v>0</v>
      </c>
      <c r="L316" s="185">
        <f t="shared" si="4"/>
        <v>90</v>
      </c>
      <c r="M316" s="134">
        <f t="shared" si="4"/>
        <v>0</v>
      </c>
      <c r="N316" s="185">
        <f t="shared" si="4"/>
        <v>1563</v>
      </c>
      <c r="O316" s="134">
        <f t="shared" si="4"/>
        <v>0</v>
      </c>
      <c r="P316" s="141">
        <f t="shared" si="4"/>
        <v>11003</v>
      </c>
      <c r="Q316" s="134">
        <f t="shared" si="4"/>
        <v>0</v>
      </c>
      <c r="R316" s="141">
        <f t="shared" si="6"/>
        <v>10100</v>
      </c>
      <c r="S316" s="134">
        <f t="shared" si="6"/>
        <v>0</v>
      </c>
      <c r="T316" s="185">
        <f t="shared" si="6"/>
        <v>905</v>
      </c>
      <c r="U316" s="134">
        <f t="shared" si="5"/>
        <v>0</v>
      </c>
      <c r="V316" s="141">
        <f t="shared" si="5"/>
        <v>2</v>
      </c>
      <c r="W316" s="134">
        <f t="shared" si="5"/>
        <v>0</v>
      </c>
      <c r="X316" s="141">
        <f t="shared" si="5"/>
        <v>903</v>
      </c>
      <c r="Y316" s="135">
        <f t="shared" si="5"/>
        <v>0</v>
      </c>
    </row>
    <row r="317" spans="2:25" x14ac:dyDescent="0.2">
      <c r="B317" s="133">
        <f t="shared" si="4"/>
        <v>72</v>
      </c>
      <c r="C317" s="203" t="str">
        <f t="shared" si="4"/>
        <v>שמירה ובטחון</v>
      </c>
      <c r="D317" s="185">
        <f t="shared" si="4"/>
        <v>10</v>
      </c>
      <c r="E317" s="134">
        <f t="shared" si="4"/>
        <v>0</v>
      </c>
      <c r="F317" s="185">
        <f t="shared" si="4"/>
        <v>1927</v>
      </c>
      <c r="G317" s="134">
        <f t="shared" si="4"/>
        <v>0</v>
      </c>
      <c r="H317" s="185">
        <f t="shared" si="4"/>
        <v>463</v>
      </c>
      <c r="I317" s="134">
        <f t="shared" si="4"/>
        <v>0</v>
      </c>
      <c r="J317" s="185">
        <f t="shared" si="4"/>
        <v>986</v>
      </c>
      <c r="K317" s="134">
        <f t="shared" si="4"/>
        <v>0</v>
      </c>
      <c r="L317" s="185">
        <f t="shared" si="4"/>
        <v>135</v>
      </c>
      <c r="M317" s="134">
        <f t="shared" si="4"/>
        <v>0</v>
      </c>
      <c r="N317" s="185">
        <f t="shared" si="4"/>
        <v>267</v>
      </c>
      <c r="O317" s="134">
        <f t="shared" si="4"/>
        <v>0</v>
      </c>
      <c r="P317" s="141">
        <f t="shared" si="4"/>
        <v>598</v>
      </c>
      <c r="Q317" s="134">
        <f t="shared" si="4"/>
        <v>0</v>
      </c>
      <c r="R317" s="141">
        <f t="shared" si="6"/>
        <v>1253</v>
      </c>
      <c r="S317" s="134">
        <f t="shared" si="6"/>
        <v>0</v>
      </c>
      <c r="T317" s="185">
        <f t="shared" si="6"/>
        <v>0</v>
      </c>
      <c r="U317" s="134">
        <f t="shared" si="5"/>
        <v>0</v>
      </c>
      <c r="V317" s="141">
        <f t="shared" si="5"/>
        <v>655</v>
      </c>
      <c r="W317" s="134">
        <f t="shared" si="5"/>
        <v>0</v>
      </c>
      <c r="X317" s="141">
        <f t="shared" si="5"/>
        <v>-655</v>
      </c>
      <c r="Y317" s="135">
        <f t="shared" si="5"/>
        <v>0</v>
      </c>
    </row>
    <row r="318" spans="2:25" x14ac:dyDescent="0.2">
      <c r="B318" s="133">
        <f t="shared" si="4"/>
        <v>73</v>
      </c>
      <c r="C318" s="203" t="str">
        <f t="shared" si="4"/>
        <v>תכנון ובנין</v>
      </c>
      <c r="D318" s="185">
        <f t="shared" si="4"/>
        <v>5</v>
      </c>
      <c r="E318" s="134">
        <f t="shared" si="4"/>
        <v>0</v>
      </c>
      <c r="F318" s="185">
        <f t="shared" si="4"/>
        <v>3540</v>
      </c>
      <c r="G318" s="134">
        <f t="shared" si="4"/>
        <v>0</v>
      </c>
      <c r="H318" s="185">
        <f t="shared" si="4"/>
        <v>1080</v>
      </c>
      <c r="I318" s="134">
        <f t="shared" si="4"/>
        <v>0</v>
      </c>
      <c r="J318" s="185">
        <f t="shared" si="4"/>
        <v>208</v>
      </c>
      <c r="K318" s="134">
        <f t="shared" si="4"/>
        <v>0</v>
      </c>
      <c r="L318" s="185">
        <f t="shared" si="4"/>
        <v>0</v>
      </c>
      <c r="M318" s="134">
        <f t="shared" si="4"/>
        <v>0</v>
      </c>
      <c r="N318" s="185">
        <f t="shared" si="4"/>
        <v>116</v>
      </c>
      <c r="O318" s="134">
        <f t="shared" si="4"/>
        <v>0</v>
      </c>
      <c r="P318" s="141">
        <f t="shared" si="4"/>
        <v>1080</v>
      </c>
      <c r="Q318" s="134">
        <f t="shared" si="4"/>
        <v>0</v>
      </c>
      <c r="R318" s="141">
        <f t="shared" si="6"/>
        <v>324</v>
      </c>
      <c r="S318" s="134">
        <f t="shared" si="6"/>
        <v>0</v>
      </c>
      <c r="T318" s="185">
        <f t="shared" si="6"/>
        <v>756</v>
      </c>
      <c r="U318" s="134">
        <f t="shared" si="5"/>
        <v>0</v>
      </c>
      <c r="V318" s="141">
        <f t="shared" si="5"/>
        <v>0</v>
      </c>
      <c r="W318" s="134">
        <f t="shared" si="5"/>
        <v>0</v>
      </c>
      <c r="X318" s="141">
        <f t="shared" si="5"/>
        <v>756</v>
      </c>
      <c r="Y318" s="135">
        <f t="shared" si="5"/>
        <v>0</v>
      </c>
    </row>
    <row r="319" spans="2:25" x14ac:dyDescent="0.2">
      <c r="B319" s="133">
        <f t="shared" si="4"/>
        <v>74</v>
      </c>
      <c r="C319" s="203" t="str">
        <f t="shared" si="4"/>
        <v>נכסים צבוריים</v>
      </c>
      <c r="D319" s="185">
        <f t="shared" si="4"/>
        <v>51</v>
      </c>
      <c r="E319" s="134">
        <f t="shared" si="4"/>
        <v>0</v>
      </c>
      <c r="F319" s="185">
        <f t="shared" si="4"/>
        <v>69137</v>
      </c>
      <c r="G319" s="134">
        <f t="shared" si="4"/>
        <v>0</v>
      </c>
      <c r="H319" s="185">
        <f t="shared" si="4"/>
        <v>46675</v>
      </c>
      <c r="I319" s="134">
        <f t="shared" si="4"/>
        <v>0</v>
      </c>
      <c r="J319" s="185">
        <f t="shared" si="4"/>
        <v>41174</v>
      </c>
      <c r="K319" s="134">
        <f t="shared" si="4"/>
        <v>0</v>
      </c>
      <c r="L319" s="185">
        <f t="shared" si="4"/>
        <v>2274</v>
      </c>
      <c r="M319" s="134">
        <f t="shared" si="4"/>
        <v>0</v>
      </c>
      <c r="N319" s="185">
        <f t="shared" si="4"/>
        <v>2376</v>
      </c>
      <c r="O319" s="134">
        <f t="shared" si="4"/>
        <v>0</v>
      </c>
      <c r="P319" s="141">
        <f t="shared" si="4"/>
        <v>48949</v>
      </c>
      <c r="Q319" s="134">
        <f t="shared" si="4"/>
        <v>0</v>
      </c>
      <c r="R319" s="141">
        <f t="shared" si="6"/>
        <v>43550</v>
      </c>
      <c r="S319" s="134">
        <f t="shared" si="6"/>
        <v>0</v>
      </c>
      <c r="T319" s="185">
        <f t="shared" si="6"/>
        <v>8858</v>
      </c>
      <c r="U319" s="134">
        <f t="shared" si="5"/>
        <v>0</v>
      </c>
      <c r="V319" s="141">
        <f t="shared" si="5"/>
        <v>3459</v>
      </c>
      <c r="W319" s="134">
        <f t="shared" si="5"/>
        <v>0</v>
      </c>
      <c r="X319" s="141">
        <f t="shared" si="5"/>
        <v>5399</v>
      </c>
      <c r="Y319" s="135">
        <f t="shared" si="5"/>
        <v>0</v>
      </c>
    </row>
    <row r="320" spans="2:25" x14ac:dyDescent="0.2">
      <c r="B320" s="133">
        <f t="shared" si="4"/>
        <v>75</v>
      </c>
      <c r="C320" s="203" t="str">
        <f t="shared" si="4"/>
        <v>חגיגות וארועים</v>
      </c>
      <c r="D320" s="185">
        <f t="shared" si="4"/>
        <v>0</v>
      </c>
      <c r="E320" s="134">
        <f t="shared" si="4"/>
        <v>0</v>
      </c>
      <c r="F320" s="185">
        <f t="shared" si="4"/>
        <v>0</v>
      </c>
      <c r="G320" s="134">
        <f t="shared" si="4"/>
        <v>0</v>
      </c>
      <c r="H320" s="185">
        <f t="shared" si="4"/>
        <v>0</v>
      </c>
      <c r="I320" s="134">
        <f t="shared" si="4"/>
        <v>0</v>
      </c>
      <c r="J320" s="185">
        <f t="shared" si="4"/>
        <v>0</v>
      </c>
      <c r="K320" s="134">
        <f t="shared" si="4"/>
        <v>0</v>
      </c>
      <c r="L320" s="185">
        <f t="shared" si="4"/>
        <v>0</v>
      </c>
      <c r="M320" s="134">
        <f t="shared" si="4"/>
        <v>0</v>
      </c>
      <c r="N320" s="185">
        <f t="shared" si="4"/>
        <v>0</v>
      </c>
      <c r="O320" s="134">
        <f t="shared" si="4"/>
        <v>0</v>
      </c>
      <c r="P320" s="141">
        <f t="shared" si="4"/>
        <v>0</v>
      </c>
      <c r="Q320" s="134">
        <f t="shared" si="4"/>
        <v>0</v>
      </c>
      <c r="R320" s="141">
        <f t="shared" si="6"/>
        <v>0</v>
      </c>
      <c r="S320" s="134">
        <f t="shared" si="6"/>
        <v>0</v>
      </c>
      <c r="T320" s="185">
        <f t="shared" si="6"/>
        <v>0</v>
      </c>
      <c r="U320" s="134">
        <f t="shared" si="5"/>
        <v>0</v>
      </c>
      <c r="V320" s="141">
        <f t="shared" si="5"/>
        <v>0</v>
      </c>
      <c r="W320" s="134">
        <f t="shared" si="5"/>
        <v>0</v>
      </c>
      <c r="X320" s="141">
        <f t="shared" si="5"/>
        <v>0</v>
      </c>
      <c r="Y320" s="135">
        <f t="shared" si="5"/>
        <v>0</v>
      </c>
    </row>
    <row r="321" spans="2:25" x14ac:dyDescent="0.2">
      <c r="B321" s="133">
        <f t="shared" ref="B321:Y331" si="7">B17</f>
        <v>76</v>
      </c>
      <c r="C321" s="203" t="str">
        <f t="shared" si="7"/>
        <v>שונות והשתתפויות</v>
      </c>
      <c r="D321" s="185">
        <f t="shared" si="7"/>
        <v>2</v>
      </c>
      <c r="E321" s="134">
        <f t="shared" si="7"/>
        <v>0</v>
      </c>
      <c r="F321" s="185">
        <f t="shared" si="7"/>
        <v>360</v>
      </c>
      <c r="G321" s="134">
        <f t="shared" si="7"/>
        <v>0</v>
      </c>
      <c r="H321" s="185">
        <f t="shared" si="7"/>
        <v>90</v>
      </c>
      <c r="I321" s="134">
        <f t="shared" si="7"/>
        <v>0</v>
      </c>
      <c r="J321" s="185">
        <f t="shared" si="7"/>
        <v>0</v>
      </c>
      <c r="K321" s="134">
        <f t="shared" si="7"/>
        <v>0</v>
      </c>
      <c r="L321" s="185">
        <f t="shared" si="7"/>
        <v>90</v>
      </c>
      <c r="M321" s="134">
        <f t="shared" si="7"/>
        <v>0</v>
      </c>
      <c r="N321" s="185">
        <f t="shared" si="7"/>
        <v>179</v>
      </c>
      <c r="O321" s="134">
        <f t="shared" si="7"/>
        <v>0</v>
      </c>
      <c r="P321" s="141">
        <f t="shared" si="7"/>
        <v>180</v>
      </c>
      <c r="Q321" s="134">
        <f t="shared" si="7"/>
        <v>0</v>
      </c>
      <c r="R321" s="141">
        <f t="shared" si="7"/>
        <v>179</v>
      </c>
      <c r="S321" s="134">
        <f t="shared" si="7"/>
        <v>0</v>
      </c>
      <c r="T321" s="185">
        <f t="shared" si="7"/>
        <v>1</v>
      </c>
      <c r="U321" s="134">
        <f t="shared" si="7"/>
        <v>0</v>
      </c>
      <c r="V321" s="141">
        <f t="shared" si="7"/>
        <v>0</v>
      </c>
      <c r="W321" s="134">
        <f t="shared" si="7"/>
        <v>0</v>
      </c>
      <c r="X321" s="141">
        <f t="shared" si="7"/>
        <v>1</v>
      </c>
      <c r="Y321" s="135">
        <f t="shared" si="7"/>
        <v>0</v>
      </c>
    </row>
    <row r="322" spans="2:25" x14ac:dyDescent="0.2">
      <c r="B322" s="133">
        <f t="shared" si="7"/>
        <v>77</v>
      </c>
      <c r="C322" s="203" t="str">
        <f t="shared" si="7"/>
        <v xml:space="preserve">כלכלה ותיירות </v>
      </c>
      <c r="D322" s="185">
        <f t="shared" si="7"/>
        <v>2</v>
      </c>
      <c r="E322" s="134">
        <f t="shared" si="7"/>
        <v>0</v>
      </c>
      <c r="F322" s="185">
        <f t="shared" si="7"/>
        <v>1310</v>
      </c>
      <c r="G322" s="134">
        <f t="shared" si="7"/>
        <v>0</v>
      </c>
      <c r="H322" s="185">
        <f t="shared" si="7"/>
        <v>311</v>
      </c>
      <c r="I322" s="134">
        <f t="shared" si="7"/>
        <v>0</v>
      </c>
      <c r="J322" s="185">
        <f t="shared" si="7"/>
        <v>352</v>
      </c>
      <c r="K322" s="134">
        <f t="shared" si="7"/>
        <v>0</v>
      </c>
      <c r="L322" s="185">
        <f t="shared" si="7"/>
        <v>0</v>
      </c>
      <c r="M322" s="134">
        <f t="shared" si="7"/>
        <v>0</v>
      </c>
      <c r="N322" s="185">
        <f t="shared" si="7"/>
        <v>0</v>
      </c>
      <c r="O322" s="134">
        <f t="shared" si="7"/>
        <v>0</v>
      </c>
      <c r="P322" s="141">
        <f t="shared" si="7"/>
        <v>311</v>
      </c>
      <c r="Q322" s="134">
        <f t="shared" si="7"/>
        <v>0</v>
      </c>
      <c r="R322" s="141">
        <f t="shared" si="7"/>
        <v>352</v>
      </c>
      <c r="S322" s="134">
        <f t="shared" si="7"/>
        <v>0</v>
      </c>
      <c r="T322" s="185">
        <f t="shared" si="7"/>
        <v>0</v>
      </c>
      <c r="U322" s="134">
        <f t="shared" si="7"/>
        <v>0</v>
      </c>
      <c r="V322" s="141">
        <f t="shared" si="7"/>
        <v>41</v>
      </c>
      <c r="W322" s="134">
        <f t="shared" si="7"/>
        <v>0</v>
      </c>
      <c r="X322" s="141">
        <f t="shared" si="7"/>
        <v>-41</v>
      </c>
      <c r="Y322" s="135">
        <f t="shared" si="7"/>
        <v>0</v>
      </c>
    </row>
    <row r="323" spans="2:25" x14ac:dyDescent="0.2">
      <c r="B323" s="133">
        <f t="shared" si="7"/>
        <v>78</v>
      </c>
      <c r="C323" s="203" t="str">
        <f t="shared" si="7"/>
        <v>פיקוח עירוני</v>
      </c>
      <c r="D323" s="185">
        <f t="shared" si="7"/>
        <v>0</v>
      </c>
      <c r="E323" s="134">
        <f t="shared" si="7"/>
        <v>0</v>
      </c>
      <c r="F323" s="185">
        <f t="shared" si="7"/>
        <v>0</v>
      </c>
      <c r="G323" s="134">
        <f t="shared" si="7"/>
        <v>0</v>
      </c>
      <c r="H323" s="185">
        <f t="shared" si="7"/>
        <v>0</v>
      </c>
      <c r="I323" s="134">
        <f t="shared" si="7"/>
        <v>0</v>
      </c>
      <c r="J323" s="185">
        <f t="shared" si="7"/>
        <v>0</v>
      </c>
      <c r="K323" s="134">
        <f t="shared" si="7"/>
        <v>0</v>
      </c>
      <c r="L323" s="185">
        <f t="shared" si="7"/>
        <v>0</v>
      </c>
      <c r="M323" s="134">
        <f t="shared" si="7"/>
        <v>0</v>
      </c>
      <c r="N323" s="185">
        <f t="shared" si="7"/>
        <v>0</v>
      </c>
      <c r="O323" s="134">
        <f t="shared" si="7"/>
        <v>0</v>
      </c>
      <c r="P323" s="141">
        <f t="shared" si="7"/>
        <v>0</v>
      </c>
      <c r="Q323" s="134">
        <f t="shared" si="7"/>
        <v>0</v>
      </c>
      <c r="R323" s="141">
        <f t="shared" si="7"/>
        <v>0</v>
      </c>
      <c r="S323" s="134">
        <f t="shared" si="7"/>
        <v>0</v>
      </c>
      <c r="T323" s="185">
        <f t="shared" si="7"/>
        <v>0</v>
      </c>
      <c r="U323" s="134">
        <f t="shared" si="7"/>
        <v>0</v>
      </c>
      <c r="V323" s="141">
        <f t="shared" si="7"/>
        <v>0</v>
      </c>
      <c r="W323" s="134">
        <f t="shared" si="7"/>
        <v>0</v>
      </c>
      <c r="X323" s="141">
        <f t="shared" si="7"/>
        <v>0</v>
      </c>
      <c r="Y323" s="135">
        <f t="shared" si="7"/>
        <v>0</v>
      </c>
    </row>
    <row r="324" spans="2:25" x14ac:dyDescent="0.2">
      <c r="B324" s="133">
        <f t="shared" si="7"/>
        <v>79</v>
      </c>
      <c r="C324" s="203" t="str">
        <f t="shared" si="7"/>
        <v>שרותים חקלאיים</v>
      </c>
      <c r="D324" s="185">
        <f t="shared" si="7"/>
        <v>0</v>
      </c>
      <c r="E324" s="134">
        <f t="shared" si="7"/>
        <v>0</v>
      </c>
      <c r="F324" s="185">
        <f t="shared" si="7"/>
        <v>0</v>
      </c>
      <c r="G324" s="134">
        <f t="shared" si="7"/>
        <v>0</v>
      </c>
      <c r="H324" s="185">
        <f t="shared" si="7"/>
        <v>0</v>
      </c>
      <c r="I324" s="134">
        <f t="shared" si="7"/>
        <v>0</v>
      </c>
      <c r="J324" s="185">
        <f t="shared" si="7"/>
        <v>0</v>
      </c>
      <c r="K324" s="134">
        <f t="shared" si="7"/>
        <v>0</v>
      </c>
      <c r="L324" s="185">
        <f t="shared" si="7"/>
        <v>0</v>
      </c>
      <c r="M324" s="134">
        <f t="shared" si="7"/>
        <v>0</v>
      </c>
      <c r="N324" s="185">
        <f t="shared" si="7"/>
        <v>0</v>
      </c>
      <c r="O324" s="134">
        <f t="shared" si="7"/>
        <v>0</v>
      </c>
      <c r="P324" s="141">
        <f t="shared" si="7"/>
        <v>0</v>
      </c>
      <c r="Q324" s="134">
        <f t="shared" si="7"/>
        <v>0</v>
      </c>
      <c r="R324" s="141">
        <f t="shared" si="7"/>
        <v>0</v>
      </c>
      <c r="S324" s="134">
        <f t="shared" si="7"/>
        <v>0</v>
      </c>
      <c r="T324" s="185">
        <f t="shared" si="7"/>
        <v>0</v>
      </c>
      <c r="U324" s="134">
        <f t="shared" si="7"/>
        <v>0</v>
      </c>
      <c r="V324" s="141">
        <f t="shared" si="7"/>
        <v>0</v>
      </c>
      <c r="W324" s="134">
        <f t="shared" si="7"/>
        <v>0</v>
      </c>
      <c r="X324" s="141">
        <f t="shared" si="7"/>
        <v>0</v>
      </c>
      <c r="Y324" s="135">
        <f t="shared" si="7"/>
        <v>0</v>
      </c>
    </row>
    <row r="325" spans="2:25" x14ac:dyDescent="0.2">
      <c r="B325" s="133">
        <f t="shared" si="7"/>
        <v>81</v>
      </c>
      <c r="C325" s="203" t="str">
        <f t="shared" si="7"/>
        <v xml:space="preserve">חינוך </v>
      </c>
      <c r="D325" s="185">
        <f t="shared" si="7"/>
        <v>32</v>
      </c>
      <c r="E325" s="134">
        <f t="shared" si="7"/>
        <v>0</v>
      </c>
      <c r="F325" s="185">
        <f t="shared" si="7"/>
        <v>22429</v>
      </c>
      <c r="G325" s="134">
        <f t="shared" si="7"/>
        <v>0</v>
      </c>
      <c r="H325" s="185">
        <f t="shared" si="7"/>
        <v>3308</v>
      </c>
      <c r="I325" s="134">
        <f t="shared" si="7"/>
        <v>0</v>
      </c>
      <c r="J325" s="185">
        <f t="shared" si="7"/>
        <v>3999</v>
      </c>
      <c r="K325" s="134">
        <f t="shared" si="7"/>
        <v>0</v>
      </c>
      <c r="L325" s="185">
        <f t="shared" si="7"/>
        <v>1659</v>
      </c>
      <c r="M325" s="134">
        <f t="shared" si="7"/>
        <v>0</v>
      </c>
      <c r="N325" s="185">
        <f t="shared" si="7"/>
        <v>4189</v>
      </c>
      <c r="O325" s="134">
        <f t="shared" si="7"/>
        <v>0</v>
      </c>
      <c r="P325" s="141">
        <f t="shared" si="7"/>
        <v>4967</v>
      </c>
      <c r="Q325" s="134">
        <f t="shared" si="7"/>
        <v>0</v>
      </c>
      <c r="R325" s="141">
        <f t="shared" si="7"/>
        <v>8188</v>
      </c>
      <c r="S325" s="134">
        <f t="shared" si="7"/>
        <v>0</v>
      </c>
      <c r="T325" s="185">
        <f t="shared" si="7"/>
        <v>483</v>
      </c>
      <c r="U325" s="134">
        <f t="shared" si="7"/>
        <v>0</v>
      </c>
      <c r="V325" s="141">
        <f t="shared" si="7"/>
        <v>3704</v>
      </c>
      <c r="W325" s="134">
        <f t="shared" si="7"/>
        <v>0</v>
      </c>
      <c r="X325" s="141">
        <f t="shared" si="7"/>
        <v>-3221</v>
      </c>
      <c r="Y325" s="135">
        <f t="shared" si="7"/>
        <v>0</v>
      </c>
    </row>
    <row r="326" spans="2:25" x14ac:dyDescent="0.2">
      <c r="B326" s="133">
        <f t="shared" si="7"/>
        <v>82</v>
      </c>
      <c r="C326" s="203" t="str">
        <f t="shared" si="7"/>
        <v>תרבות</v>
      </c>
      <c r="D326" s="185">
        <f t="shared" si="7"/>
        <v>15</v>
      </c>
      <c r="E326" s="134">
        <f t="shared" si="7"/>
        <v>0</v>
      </c>
      <c r="F326" s="185">
        <f t="shared" si="7"/>
        <v>21056</v>
      </c>
      <c r="G326" s="134">
        <f t="shared" si="7"/>
        <v>0</v>
      </c>
      <c r="H326" s="185">
        <f t="shared" si="7"/>
        <v>1480</v>
      </c>
      <c r="I326" s="134">
        <f t="shared" si="7"/>
        <v>0</v>
      </c>
      <c r="J326" s="185">
        <f t="shared" si="7"/>
        <v>3675</v>
      </c>
      <c r="K326" s="134">
        <f t="shared" si="7"/>
        <v>0</v>
      </c>
      <c r="L326" s="185">
        <f t="shared" si="7"/>
        <v>410</v>
      </c>
      <c r="M326" s="134">
        <f t="shared" si="7"/>
        <v>0</v>
      </c>
      <c r="N326" s="185">
        <f t="shared" si="7"/>
        <v>5127</v>
      </c>
      <c r="O326" s="134">
        <f t="shared" si="7"/>
        <v>0</v>
      </c>
      <c r="P326" s="141">
        <f t="shared" si="7"/>
        <v>1890</v>
      </c>
      <c r="Q326" s="134">
        <f t="shared" si="7"/>
        <v>0</v>
      </c>
      <c r="R326" s="141">
        <f t="shared" si="7"/>
        <v>8802</v>
      </c>
      <c r="S326" s="134">
        <f t="shared" si="7"/>
        <v>0</v>
      </c>
      <c r="T326" s="185">
        <f t="shared" si="7"/>
        <v>686</v>
      </c>
      <c r="U326" s="134">
        <f t="shared" si="7"/>
        <v>0</v>
      </c>
      <c r="V326" s="141">
        <f t="shared" si="7"/>
        <v>7598</v>
      </c>
      <c r="W326" s="134">
        <f t="shared" si="7"/>
        <v>0</v>
      </c>
      <c r="X326" s="141">
        <f t="shared" si="7"/>
        <v>-6912</v>
      </c>
      <c r="Y326" s="135">
        <f t="shared" si="7"/>
        <v>0</v>
      </c>
    </row>
    <row r="327" spans="2:25" x14ac:dyDescent="0.2">
      <c r="B327" s="133">
        <f t="shared" si="7"/>
        <v>83</v>
      </c>
      <c r="C327" s="203" t="str">
        <f t="shared" si="7"/>
        <v>בריאות</v>
      </c>
      <c r="D327" s="185">
        <f t="shared" si="7"/>
        <v>0</v>
      </c>
      <c r="E327" s="134">
        <f t="shared" si="7"/>
        <v>0</v>
      </c>
      <c r="F327" s="185">
        <f t="shared" si="7"/>
        <v>0</v>
      </c>
      <c r="G327" s="134">
        <f t="shared" si="7"/>
        <v>0</v>
      </c>
      <c r="H327" s="185">
        <f t="shared" si="7"/>
        <v>0</v>
      </c>
      <c r="I327" s="134">
        <f t="shared" si="7"/>
        <v>0</v>
      </c>
      <c r="J327" s="185">
        <f t="shared" si="7"/>
        <v>0</v>
      </c>
      <c r="K327" s="134">
        <f t="shared" si="7"/>
        <v>0</v>
      </c>
      <c r="L327" s="185">
        <f t="shared" si="7"/>
        <v>0</v>
      </c>
      <c r="M327" s="134">
        <f t="shared" si="7"/>
        <v>0</v>
      </c>
      <c r="N327" s="185">
        <f t="shared" si="7"/>
        <v>0</v>
      </c>
      <c r="O327" s="134">
        <f t="shared" si="7"/>
        <v>0</v>
      </c>
      <c r="P327" s="141">
        <f t="shared" si="7"/>
        <v>0</v>
      </c>
      <c r="Q327" s="134">
        <f t="shared" si="7"/>
        <v>0</v>
      </c>
      <c r="R327" s="141">
        <f t="shared" si="7"/>
        <v>0</v>
      </c>
      <c r="S327" s="134">
        <f t="shared" si="7"/>
        <v>0</v>
      </c>
      <c r="T327" s="185">
        <f t="shared" si="7"/>
        <v>0</v>
      </c>
      <c r="U327" s="134">
        <f t="shared" si="7"/>
        <v>0</v>
      </c>
      <c r="V327" s="141">
        <f t="shared" si="7"/>
        <v>0</v>
      </c>
      <c r="W327" s="134">
        <f t="shared" si="7"/>
        <v>0</v>
      </c>
      <c r="X327" s="141">
        <f t="shared" si="7"/>
        <v>0</v>
      </c>
      <c r="Y327" s="135">
        <f t="shared" si="7"/>
        <v>0</v>
      </c>
    </row>
    <row r="328" spans="2:25" x14ac:dyDescent="0.2">
      <c r="B328" s="133">
        <f t="shared" si="7"/>
        <v>84</v>
      </c>
      <c r="C328" s="203" t="str">
        <f t="shared" si="7"/>
        <v>רווחה</v>
      </c>
      <c r="D328" s="185">
        <f t="shared" si="7"/>
        <v>2</v>
      </c>
      <c r="E328" s="134">
        <f t="shared" si="7"/>
        <v>0</v>
      </c>
      <c r="F328" s="185">
        <f t="shared" si="7"/>
        <v>300</v>
      </c>
      <c r="G328" s="134">
        <f t="shared" si="7"/>
        <v>0</v>
      </c>
      <c r="H328" s="185">
        <f t="shared" si="7"/>
        <v>0</v>
      </c>
      <c r="I328" s="134">
        <f t="shared" si="7"/>
        <v>0</v>
      </c>
      <c r="J328" s="185">
        <f t="shared" si="7"/>
        <v>0</v>
      </c>
      <c r="K328" s="134">
        <f t="shared" si="7"/>
        <v>0</v>
      </c>
      <c r="L328" s="185">
        <f t="shared" si="7"/>
        <v>200</v>
      </c>
      <c r="M328" s="134">
        <f t="shared" si="7"/>
        <v>0</v>
      </c>
      <c r="N328" s="185">
        <f t="shared" si="7"/>
        <v>85</v>
      </c>
      <c r="O328" s="134">
        <f t="shared" si="7"/>
        <v>0</v>
      </c>
      <c r="P328" s="141">
        <f t="shared" si="7"/>
        <v>200</v>
      </c>
      <c r="Q328" s="134">
        <f t="shared" si="7"/>
        <v>0</v>
      </c>
      <c r="R328" s="141">
        <f t="shared" si="7"/>
        <v>85</v>
      </c>
      <c r="S328" s="134">
        <f t="shared" si="7"/>
        <v>0</v>
      </c>
      <c r="T328" s="185">
        <f t="shared" si="7"/>
        <v>115</v>
      </c>
      <c r="U328" s="134">
        <f t="shared" si="7"/>
        <v>0</v>
      </c>
      <c r="V328" s="141">
        <f t="shared" si="7"/>
        <v>0</v>
      </c>
      <c r="W328" s="134">
        <f t="shared" si="7"/>
        <v>0</v>
      </c>
      <c r="X328" s="141">
        <f t="shared" si="7"/>
        <v>115</v>
      </c>
      <c r="Y328" s="135">
        <f t="shared" si="7"/>
        <v>0</v>
      </c>
    </row>
    <row r="329" spans="2:25" x14ac:dyDescent="0.2">
      <c r="B329" s="133">
        <f t="shared" si="7"/>
        <v>85</v>
      </c>
      <c r="C329" s="203" t="str">
        <f t="shared" si="7"/>
        <v>דת</v>
      </c>
      <c r="D329" s="185">
        <f t="shared" si="7"/>
        <v>2</v>
      </c>
      <c r="E329" s="134">
        <f t="shared" si="7"/>
        <v>0</v>
      </c>
      <c r="F329" s="185">
        <f t="shared" si="7"/>
        <v>1684</v>
      </c>
      <c r="G329" s="134">
        <f t="shared" si="7"/>
        <v>0</v>
      </c>
      <c r="H329" s="185">
        <f t="shared" si="7"/>
        <v>0</v>
      </c>
      <c r="I329" s="134">
        <f t="shared" si="7"/>
        <v>0</v>
      </c>
      <c r="J329" s="185">
        <f t="shared" si="7"/>
        <v>24</v>
      </c>
      <c r="K329" s="134">
        <f t="shared" si="7"/>
        <v>0</v>
      </c>
      <c r="L329" s="185">
        <f t="shared" si="7"/>
        <v>0</v>
      </c>
      <c r="M329" s="134">
        <f t="shared" si="7"/>
        <v>0</v>
      </c>
      <c r="N329" s="185">
        <f t="shared" si="7"/>
        <v>82</v>
      </c>
      <c r="O329" s="134">
        <f t="shared" si="7"/>
        <v>0</v>
      </c>
      <c r="P329" s="141">
        <f t="shared" si="7"/>
        <v>0</v>
      </c>
      <c r="Q329" s="134">
        <f t="shared" si="7"/>
        <v>0</v>
      </c>
      <c r="R329" s="141">
        <f t="shared" si="7"/>
        <v>106</v>
      </c>
      <c r="S329" s="134">
        <f t="shared" si="7"/>
        <v>0</v>
      </c>
      <c r="T329" s="185">
        <f t="shared" si="7"/>
        <v>0</v>
      </c>
      <c r="U329" s="134">
        <f t="shared" si="7"/>
        <v>0</v>
      </c>
      <c r="V329" s="141">
        <f t="shared" si="7"/>
        <v>106</v>
      </c>
      <c r="W329" s="134">
        <f t="shared" si="7"/>
        <v>0</v>
      </c>
      <c r="X329" s="141">
        <f t="shared" si="7"/>
        <v>-106</v>
      </c>
      <c r="Y329" s="135">
        <f t="shared" si="7"/>
        <v>0</v>
      </c>
    </row>
    <row r="330" spans="2:25" x14ac:dyDescent="0.2">
      <c r="B330" s="133">
        <f t="shared" si="7"/>
        <v>86</v>
      </c>
      <c r="C330" s="203" t="str">
        <f t="shared" si="7"/>
        <v>קליטת עליה</v>
      </c>
      <c r="D330" s="185">
        <f t="shared" si="7"/>
        <v>0</v>
      </c>
      <c r="E330" s="134">
        <f t="shared" si="7"/>
        <v>0</v>
      </c>
      <c r="F330" s="185">
        <f t="shared" si="7"/>
        <v>0</v>
      </c>
      <c r="G330" s="134">
        <f t="shared" si="7"/>
        <v>0</v>
      </c>
      <c r="H330" s="185">
        <f t="shared" si="7"/>
        <v>0</v>
      </c>
      <c r="I330" s="134">
        <f t="shared" si="7"/>
        <v>0</v>
      </c>
      <c r="J330" s="185">
        <f t="shared" si="7"/>
        <v>0</v>
      </c>
      <c r="K330" s="134">
        <f t="shared" si="7"/>
        <v>0</v>
      </c>
      <c r="L330" s="185">
        <f t="shared" si="7"/>
        <v>0</v>
      </c>
      <c r="M330" s="134">
        <f t="shared" si="7"/>
        <v>0</v>
      </c>
      <c r="N330" s="185">
        <f t="shared" si="7"/>
        <v>0</v>
      </c>
      <c r="O330" s="134">
        <f t="shared" si="7"/>
        <v>0</v>
      </c>
      <c r="P330" s="141">
        <f t="shared" si="7"/>
        <v>0</v>
      </c>
      <c r="Q330" s="134">
        <f t="shared" si="7"/>
        <v>0</v>
      </c>
      <c r="R330" s="141">
        <f t="shared" si="7"/>
        <v>0</v>
      </c>
      <c r="S330" s="134">
        <f t="shared" si="7"/>
        <v>0</v>
      </c>
      <c r="T330" s="185">
        <f t="shared" si="7"/>
        <v>0</v>
      </c>
      <c r="U330" s="134">
        <f t="shared" si="7"/>
        <v>0</v>
      </c>
      <c r="V330" s="141">
        <f t="shared" si="7"/>
        <v>0</v>
      </c>
      <c r="W330" s="134">
        <f t="shared" si="7"/>
        <v>0</v>
      </c>
      <c r="X330" s="141">
        <f t="shared" si="7"/>
        <v>0</v>
      </c>
      <c r="Y330" s="135">
        <f t="shared" si="7"/>
        <v>0</v>
      </c>
    </row>
    <row r="331" spans="2:25" x14ac:dyDescent="0.2">
      <c r="B331" s="133">
        <f t="shared" si="7"/>
        <v>87</v>
      </c>
      <c r="C331" s="203" t="str">
        <f t="shared" si="7"/>
        <v>איכות הסביבה</v>
      </c>
      <c r="D331" s="185">
        <f t="shared" si="7"/>
        <v>0</v>
      </c>
      <c r="E331" s="134">
        <f t="shared" si="7"/>
        <v>0</v>
      </c>
      <c r="F331" s="185">
        <f t="shared" si="7"/>
        <v>0</v>
      </c>
      <c r="G331" s="134">
        <f t="shared" si="7"/>
        <v>0</v>
      </c>
      <c r="H331" s="185">
        <f t="shared" si="7"/>
        <v>0</v>
      </c>
      <c r="I331" s="134">
        <f t="shared" si="7"/>
        <v>0</v>
      </c>
      <c r="J331" s="185">
        <f t="shared" si="7"/>
        <v>0</v>
      </c>
      <c r="K331" s="134">
        <f t="shared" si="7"/>
        <v>0</v>
      </c>
      <c r="L331" s="185">
        <f t="shared" si="7"/>
        <v>0</v>
      </c>
      <c r="M331" s="134">
        <f t="shared" si="7"/>
        <v>0</v>
      </c>
      <c r="N331" s="185">
        <f t="shared" si="7"/>
        <v>0</v>
      </c>
      <c r="O331" s="134">
        <f t="shared" si="7"/>
        <v>0</v>
      </c>
      <c r="P331" s="141">
        <f t="shared" si="7"/>
        <v>0</v>
      </c>
      <c r="Q331" s="134">
        <f t="shared" ref="Q331:Y331" si="8">Q27</f>
        <v>0</v>
      </c>
      <c r="R331" s="141">
        <f t="shared" si="8"/>
        <v>0</v>
      </c>
      <c r="S331" s="134">
        <f t="shared" si="8"/>
        <v>0</v>
      </c>
      <c r="T331" s="185">
        <f t="shared" si="8"/>
        <v>0</v>
      </c>
      <c r="U331" s="134">
        <f t="shared" si="8"/>
        <v>0</v>
      </c>
      <c r="V331" s="141">
        <f t="shared" si="8"/>
        <v>0</v>
      </c>
      <c r="W331" s="134">
        <f t="shared" si="8"/>
        <v>0</v>
      </c>
      <c r="X331" s="141">
        <f t="shared" si="8"/>
        <v>0</v>
      </c>
      <c r="Y331" s="135">
        <f t="shared" si="8"/>
        <v>0</v>
      </c>
    </row>
    <row r="332" spans="2:25" x14ac:dyDescent="0.2">
      <c r="B332" s="133">
        <f t="shared" ref="B332:T343" si="9">B28</f>
        <v>91</v>
      </c>
      <c r="C332" s="203" t="str">
        <f t="shared" si="9"/>
        <v>מים</v>
      </c>
      <c r="D332" s="185">
        <f t="shared" si="9"/>
        <v>1</v>
      </c>
      <c r="E332" s="134">
        <f t="shared" si="9"/>
        <v>0</v>
      </c>
      <c r="F332" s="185">
        <f t="shared" si="9"/>
        <v>600</v>
      </c>
      <c r="G332" s="134">
        <f t="shared" si="9"/>
        <v>0</v>
      </c>
      <c r="H332" s="185">
        <f t="shared" si="9"/>
        <v>0</v>
      </c>
      <c r="I332" s="134">
        <f t="shared" si="9"/>
        <v>0</v>
      </c>
      <c r="J332" s="185">
        <f t="shared" si="9"/>
        <v>0</v>
      </c>
      <c r="K332" s="134">
        <f t="shared" si="9"/>
        <v>0</v>
      </c>
      <c r="L332" s="185">
        <f t="shared" si="9"/>
        <v>600</v>
      </c>
      <c r="M332" s="134">
        <f t="shared" si="9"/>
        <v>0</v>
      </c>
      <c r="N332" s="185">
        <f t="shared" si="9"/>
        <v>0</v>
      </c>
      <c r="O332" s="134">
        <f t="shared" si="9"/>
        <v>0</v>
      </c>
      <c r="P332" s="141">
        <f t="shared" si="9"/>
        <v>600</v>
      </c>
      <c r="Q332" s="134">
        <f t="shared" si="9"/>
        <v>0</v>
      </c>
      <c r="R332" s="141">
        <f t="shared" si="9"/>
        <v>0</v>
      </c>
      <c r="S332" s="134">
        <f t="shared" si="9"/>
        <v>0</v>
      </c>
      <c r="T332" s="185">
        <f t="shared" si="9"/>
        <v>600</v>
      </c>
      <c r="U332" s="134">
        <f t="shared" ref="U332:Y343" si="10">U28</f>
        <v>0</v>
      </c>
      <c r="V332" s="141">
        <f t="shared" si="10"/>
        <v>0</v>
      </c>
      <c r="W332" s="134">
        <f t="shared" si="10"/>
        <v>0</v>
      </c>
      <c r="X332" s="141">
        <f t="shared" si="10"/>
        <v>600</v>
      </c>
      <c r="Y332" s="135">
        <f t="shared" si="10"/>
        <v>0</v>
      </c>
    </row>
    <row r="333" spans="2:25" x14ac:dyDescent="0.2">
      <c r="B333" s="133">
        <f t="shared" si="9"/>
        <v>92</v>
      </c>
      <c r="C333" s="203" t="str">
        <f t="shared" si="9"/>
        <v>בתי מטבחיים</v>
      </c>
      <c r="D333" s="185">
        <f t="shared" si="9"/>
        <v>0</v>
      </c>
      <c r="E333" s="134">
        <f t="shared" si="9"/>
        <v>0</v>
      </c>
      <c r="F333" s="185">
        <f t="shared" si="9"/>
        <v>0</v>
      </c>
      <c r="G333" s="134">
        <f t="shared" si="9"/>
        <v>0</v>
      </c>
      <c r="H333" s="185">
        <f t="shared" si="9"/>
        <v>0</v>
      </c>
      <c r="I333" s="134">
        <f t="shared" si="9"/>
        <v>0</v>
      </c>
      <c r="J333" s="185">
        <f t="shared" si="9"/>
        <v>0</v>
      </c>
      <c r="K333" s="134">
        <f t="shared" si="9"/>
        <v>0</v>
      </c>
      <c r="L333" s="185">
        <f t="shared" si="9"/>
        <v>0</v>
      </c>
      <c r="M333" s="134">
        <f t="shared" si="9"/>
        <v>0</v>
      </c>
      <c r="N333" s="185">
        <f t="shared" si="9"/>
        <v>0</v>
      </c>
      <c r="O333" s="134">
        <f t="shared" si="9"/>
        <v>0</v>
      </c>
      <c r="P333" s="141">
        <f t="shared" si="9"/>
        <v>0</v>
      </c>
      <c r="Q333" s="134">
        <f t="shared" si="9"/>
        <v>0</v>
      </c>
      <c r="R333" s="141">
        <f t="shared" si="9"/>
        <v>0</v>
      </c>
      <c r="S333" s="134">
        <f t="shared" si="9"/>
        <v>0</v>
      </c>
      <c r="T333" s="185">
        <f t="shared" si="9"/>
        <v>0</v>
      </c>
      <c r="U333" s="134">
        <f t="shared" si="10"/>
        <v>0</v>
      </c>
      <c r="V333" s="141">
        <f t="shared" si="10"/>
        <v>0</v>
      </c>
      <c r="W333" s="134">
        <f t="shared" si="10"/>
        <v>0</v>
      </c>
      <c r="X333" s="141">
        <f t="shared" si="10"/>
        <v>0</v>
      </c>
      <c r="Y333" s="135">
        <f t="shared" si="10"/>
        <v>0</v>
      </c>
    </row>
    <row r="334" spans="2:25" x14ac:dyDescent="0.2">
      <c r="B334" s="133">
        <f t="shared" si="9"/>
        <v>93</v>
      </c>
      <c r="C334" s="203" t="str">
        <f t="shared" si="9"/>
        <v>נכסים</v>
      </c>
      <c r="D334" s="185">
        <f t="shared" si="9"/>
        <v>12</v>
      </c>
      <c r="E334" s="134">
        <f t="shared" si="9"/>
        <v>0</v>
      </c>
      <c r="F334" s="185">
        <f t="shared" si="9"/>
        <v>11526</v>
      </c>
      <c r="G334" s="134">
        <f t="shared" si="9"/>
        <v>0</v>
      </c>
      <c r="H334" s="185">
        <f t="shared" si="9"/>
        <v>9436</v>
      </c>
      <c r="I334" s="134">
        <f t="shared" si="9"/>
        <v>0</v>
      </c>
      <c r="J334" s="185">
        <f t="shared" si="9"/>
        <v>9740</v>
      </c>
      <c r="K334" s="134">
        <f t="shared" si="9"/>
        <v>0</v>
      </c>
      <c r="L334" s="185">
        <f t="shared" si="9"/>
        <v>1331</v>
      </c>
      <c r="M334" s="134">
        <f t="shared" si="9"/>
        <v>0</v>
      </c>
      <c r="N334" s="185">
        <f t="shared" si="9"/>
        <v>1187</v>
      </c>
      <c r="O334" s="134">
        <f t="shared" si="9"/>
        <v>0</v>
      </c>
      <c r="P334" s="141">
        <f t="shared" si="9"/>
        <v>10767</v>
      </c>
      <c r="Q334" s="134">
        <f t="shared" si="9"/>
        <v>0</v>
      </c>
      <c r="R334" s="141">
        <f t="shared" si="9"/>
        <v>10927</v>
      </c>
      <c r="S334" s="134">
        <f t="shared" si="9"/>
        <v>0</v>
      </c>
      <c r="T334" s="185">
        <f t="shared" si="9"/>
        <v>1431</v>
      </c>
      <c r="U334" s="134">
        <f t="shared" si="10"/>
        <v>0</v>
      </c>
      <c r="V334" s="141">
        <f t="shared" si="10"/>
        <v>1591</v>
      </c>
      <c r="W334" s="134">
        <f t="shared" si="10"/>
        <v>0</v>
      </c>
      <c r="X334" s="141">
        <f t="shared" si="10"/>
        <v>-160</v>
      </c>
      <c r="Y334" s="135">
        <f t="shared" si="10"/>
        <v>0</v>
      </c>
    </row>
    <row r="335" spans="2:25" x14ac:dyDescent="0.2">
      <c r="B335" s="133">
        <f t="shared" si="9"/>
        <v>94</v>
      </c>
      <c r="C335" s="203" t="str">
        <f t="shared" si="9"/>
        <v>תחבורה</v>
      </c>
      <c r="D335" s="185">
        <f t="shared" si="9"/>
        <v>0</v>
      </c>
      <c r="E335" s="134">
        <f t="shared" si="9"/>
        <v>0</v>
      </c>
      <c r="F335" s="185">
        <f t="shared" si="9"/>
        <v>0</v>
      </c>
      <c r="G335" s="134">
        <f t="shared" si="9"/>
        <v>0</v>
      </c>
      <c r="H335" s="185">
        <f t="shared" si="9"/>
        <v>0</v>
      </c>
      <c r="I335" s="134">
        <f t="shared" si="9"/>
        <v>0</v>
      </c>
      <c r="J335" s="185">
        <f t="shared" si="9"/>
        <v>0</v>
      </c>
      <c r="K335" s="134">
        <f t="shared" si="9"/>
        <v>0</v>
      </c>
      <c r="L335" s="185">
        <f t="shared" si="9"/>
        <v>0</v>
      </c>
      <c r="M335" s="134">
        <f t="shared" si="9"/>
        <v>0</v>
      </c>
      <c r="N335" s="185">
        <f t="shared" si="9"/>
        <v>0</v>
      </c>
      <c r="O335" s="134">
        <f t="shared" si="9"/>
        <v>0</v>
      </c>
      <c r="P335" s="141">
        <f t="shared" si="9"/>
        <v>0</v>
      </c>
      <c r="Q335" s="134">
        <f t="shared" si="9"/>
        <v>0</v>
      </c>
      <c r="R335" s="141">
        <f t="shared" si="9"/>
        <v>0</v>
      </c>
      <c r="S335" s="134">
        <f t="shared" si="9"/>
        <v>0</v>
      </c>
      <c r="T335" s="185">
        <f t="shared" si="9"/>
        <v>0</v>
      </c>
      <c r="U335" s="134">
        <f t="shared" si="10"/>
        <v>0</v>
      </c>
      <c r="V335" s="141">
        <f t="shared" si="10"/>
        <v>0</v>
      </c>
      <c r="W335" s="134">
        <f t="shared" si="10"/>
        <v>0</v>
      </c>
      <c r="X335" s="141">
        <f t="shared" si="10"/>
        <v>0</v>
      </c>
      <c r="Y335" s="135">
        <f t="shared" si="10"/>
        <v>0</v>
      </c>
    </row>
    <row r="336" spans="2:25" x14ac:dyDescent="0.2">
      <c r="B336" s="133">
        <f t="shared" si="9"/>
        <v>95</v>
      </c>
      <c r="C336" s="203" t="str">
        <f t="shared" si="9"/>
        <v>תעסוקה</v>
      </c>
      <c r="D336" s="185">
        <f t="shared" si="9"/>
        <v>0</v>
      </c>
      <c r="E336" s="134">
        <f t="shared" si="9"/>
        <v>0</v>
      </c>
      <c r="F336" s="185">
        <f t="shared" si="9"/>
        <v>0</v>
      </c>
      <c r="G336" s="134">
        <f t="shared" si="9"/>
        <v>0</v>
      </c>
      <c r="H336" s="185">
        <f t="shared" si="9"/>
        <v>0</v>
      </c>
      <c r="I336" s="134">
        <f t="shared" si="9"/>
        <v>0</v>
      </c>
      <c r="J336" s="185">
        <f t="shared" si="9"/>
        <v>0</v>
      </c>
      <c r="K336" s="134">
        <f t="shared" si="9"/>
        <v>0</v>
      </c>
      <c r="L336" s="185">
        <f t="shared" si="9"/>
        <v>0</v>
      </c>
      <c r="M336" s="134">
        <f t="shared" si="9"/>
        <v>0</v>
      </c>
      <c r="N336" s="185">
        <f t="shared" si="9"/>
        <v>0</v>
      </c>
      <c r="O336" s="134">
        <f t="shared" si="9"/>
        <v>0</v>
      </c>
      <c r="P336" s="141">
        <f t="shared" si="9"/>
        <v>0</v>
      </c>
      <c r="Q336" s="134">
        <f t="shared" si="9"/>
        <v>0</v>
      </c>
      <c r="R336" s="141">
        <f t="shared" si="9"/>
        <v>0</v>
      </c>
      <c r="S336" s="134">
        <f t="shared" si="9"/>
        <v>0</v>
      </c>
      <c r="T336" s="185">
        <f t="shared" si="9"/>
        <v>0</v>
      </c>
      <c r="U336" s="134">
        <f t="shared" si="10"/>
        <v>0</v>
      </c>
      <c r="V336" s="141">
        <f t="shared" si="10"/>
        <v>0</v>
      </c>
      <c r="W336" s="134">
        <f t="shared" si="10"/>
        <v>0</v>
      </c>
      <c r="X336" s="141">
        <f t="shared" si="10"/>
        <v>0</v>
      </c>
      <c r="Y336" s="135">
        <f t="shared" si="10"/>
        <v>0</v>
      </c>
    </row>
    <row r="337" spans="2:25" x14ac:dyDescent="0.2">
      <c r="B337" s="133">
        <f t="shared" si="9"/>
        <v>96</v>
      </c>
      <c r="C337" s="203" t="str">
        <f t="shared" si="9"/>
        <v>חשמל</v>
      </c>
      <c r="D337" s="185">
        <f t="shared" si="9"/>
        <v>0</v>
      </c>
      <c r="E337" s="134">
        <f t="shared" si="9"/>
        <v>0</v>
      </c>
      <c r="F337" s="185">
        <f t="shared" si="9"/>
        <v>0</v>
      </c>
      <c r="G337" s="134">
        <f t="shared" si="9"/>
        <v>0</v>
      </c>
      <c r="H337" s="185">
        <f t="shared" si="9"/>
        <v>0</v>
      </c>
      <c r="I337" s="134">
        <f t="shared" si="9"/>
        <v>0</v>
      </c>
      <c r="J337" s="185">
        <f t="shared" si="9"/>
        <v>0</v>
      </c>
      <c r="K337" s="134">
        <f t="shared" si="9"/>
        <v>0</v>
      </c>
      <c r="L337" s="185">
        <f t="shared" si="9"/>
        <v>0</v>
      </c>
      <c r="M337" s="134">
        <f t="shared" si="9"/>
        <v>0</v>
      </c>
      <c r="N337" s="185">
        <f t="shared" si="9"/>
        <v>0</v>
      </c>
      <c r="O337" s="134">
        <f t="shared" si="9"/>
        <v>0</v>
      </c>
      <c r="P337" s="141">
        <f t="shared" si="9"/>
        <v>0</v>
      </c>
      <c r="Q337" s="134">
        <f t="shared" si="9"/>
        <v>0</v>
      </c>
      <c r="R337" s="141">
        <f t="shared" si="9"/>
        <v>0</v>
      </c>
      <c r="S337" s="134">
        <f t="shared" si="9"/>
        <v>0</v>
      </c>
      <c r="T337" s="185">
        <f t="shared" si="9"/>
        <v>0</v>
      </c>
      <c r="U337" s="134">
        <f t="shared" si="10"/>
        <v>0</v>
      </c>
      <c r="V337" s="141">
        <f t="shared" si="10"/>
        <v>0</v>
      </c>
      <c r="W337" s="134">
        <f t="shared" si="10"/>
        <v>0</v>
      </c>
      <c r="X337" s="141">
        <f t="shared" si="10"/>
        <v>0</v>
      </c>
      <c r="Y337" s="135">
        <f t="shared" si="10"/>
        <v>0</v>
      </c>
    </row>
    <row r="338" spans="2:25" x14ac:dyDescent="0.2">
      <c r="B338" s="133">
        <f t="shared" si="9"/>
        <v>97</v>
      </c>
      <c r="C338" s="203" t="str">
        <f t="shared" si="9"/>
        <v>ביוב</v>
      </c>
      <c r="D338" s="185">
        <f t="shared" si="9"/>
        <v>1</v>
      </c>
      <c r="E338" s="134">
        <f t="shared" si="9"/>
        <v>0</v>
      </c>
      <c r="F338" s="185">
        <f t="shared" si="9"/>
        <v>34000</v>
      </c>
      <c r="G338" s="134">
        <f t="shared" si="9"/>
        <v>0</v>
      </c>
      <c r="H338" s="185">
        <f t="shared" si="9"/>
        <v>26238</v>
      </c>
      <c r="I338" s="134">
        <f t="shared" si="9"/>
        <v>0</v>
      </c>
      <c r="J338" s="185">
        <f t="shared" si="9"/>
        <v>25155</v>
      </c>
      <c r="K338" s="134">
        <f t="shared" si="9"/>
        <v>0</v>
      </c>
      <c r="L338" s="185">
        <f t="shared" si="9"/>
        <v>344</v>
      </c>
      <c r="M338" s="134">
        <f t="shared" si="9"/>
        <v>0</v>
      </c>
      <c r="N338" s="185">
        <f t="shared" si="9"/>
        <v>1613</v>
      </c>
      <c r="O338" s="134">
        <f t="shared" si="9"/>
        <v>0</v>
      </c>
      <c r="P338" s="141">
        <f t="shared" si="9"/>
        <v>26582</v>
      </c>
      <c r="Q338" s="134">
        <f t="shared" si="9"/>
        <v>0</v>
      </c>
      <c r="R338" s="141">
        <f t="shared" si="9"/>
        <v>26768</v>
      </c>
      <c r="S338" s="134">
        <f t="shared" si="9"/>
        <v>0</v>
      </c>
      <c r="T338" s="185">
        <f t="shared" si="9"/>
        <v>0</v>
      </c>
      <c r="U338" s="134">
        <f t="shared" si="10"/>
        <v>0</v>
      </c>
      <c r="V338" s="141">
        <f t="shared" si="10"/>
        <v>186</v>
      </c>
      <c r="W338" s="134">
        <f t="shared" si="10"/>
        <v>0</v>
      </c>
      <c r="X338" s="141">
        <f t="shared" si="10"/>
        <v>-186</v>
      </c>
      <c r="Y338" s="135">
        <f t="shared" si="10"/>
        <v>0</v>
      </c>
    </row>
    <row r="339" spans="2:25" x14ac:dyDescent="0.2">
      <c r="B339" s="133">
        <f t="shared" si="9"/>
        <v>98</v>
      </c>
      <c r="C339" s="203" t="str">
        <f t="shared" si="9"/>
        <v>מפעלים אחרים</v>
      </c>
      <c r="D339" s="185">
        <f t="shared" si="9"/>
        <v>0</v>
      </c>
      <c r="E339" s="134">
        <f t="shared" si="9"/>
        <v>0</v>
      </c>
      <c r="F339" s="185">
        <f t="shared" si="9"/>
        <v>0</v>
      </c>
      <c r="G339" s="134">
        <f t="shared" si="9"/>
        <v>0</v>
      </c>
      <c r="H339" s="185">
        <f t="shared" si="9"/>
        <v>0</v>
      </c>
      <c r="I339" s="134">
        <f t="shared" si="9"/>
        <v>0</v>
      </c>
      <c r="J339" s="185">
        <f t="shared" si="9"/>
        <v>0</v>
      </c>
      <c r="K339" s="134">
        <f t="shared" si="9"/>
        <v>0</v>
      </c>
      <c r="L339" s="185">
        <f t="shared" si="9"/>
        <v>0</v>
      </c>
      <c r="M339" s="134">
        <f t="shared" si="9"/>
        <v>0</v>
      </c>
      <c r="N339" s="185">
        <f t="shared" si="9"/>
        <v>0</v>
      </c>
      <c r="O339" s="134">
        <f t="shared" si="9"/>
        <v>0</v>
      </c>
      <c r="P339" s="141">
        <f t="shared" si="9"/>
        <v>0</v>
      </c>
      <c r="Q339" s="134">
        <f t="shared" si="9"/>
        <v>0</v>
      </c>
      <c r="R339" s="141">
        <f t="shared" si="9"/>
        <v>0</v>
      </c>
      <c r="S339" s="134">
        <f t="shared" si="9"/>
        <v>0</v>
      </c>
      <c r="T339" s="185">
        <f t="shared" si="9"/>
        <v>0</v>
      </c>
      <c r="U339" s="134">
        <f t="shared" si="10"/>
        <v>0</v>
      </c>
      <c r="V339" s="141">
        <f t="shared" si="10"/>
        <v>0</v>
      </c>
      <c r="W339" s="134">
        <f t="shared" si="10"/>
        <v>0</v>
      </c>
      <c r="X339" s="141">
        <f t="shared" si="10"/>
        <v>0</v>
      </c>
      <c r="Y339" s="135">
        <f t="shared" si="10"/>
        <v>0</v>
      </c>
    </row>
    <row r="340" spans="2:25" x14ac:dyDescent="0.2">
      <c r="B340" s="133">
        <f t="shared" si="9"/>
        <v>99</v>
      </c>
      <c r="C340" s="203" t="str">
        <f t="shared" si="9"/>
        <v xml:space="preserve">תשלומים לא רגילים </v>
      </c>
      <c r="D340" s="185">
        <f t="shared" si="9"/>
        <v>0</v>
      </c>
      <c r="E340" s="134">
        <f t="shared" si="9"/>
        <v>0</v>
      </c>
      <c r="F340" s="185">
        <f t="shared" si="9"/>
        <v>0</v>
      </c>
      <c r="G340" s="134">
        <f t="shared" si="9"/>
        <v>0</v>
      </c>
      <c r="H340" s="185">
        <f t="shared" si="9"/>
        <v>0</v>
      </c>
      <c r="I340" s="134">
        <f t="shared" si="9"/>
        <v>0</v>
      </c>
      <c r="J340" s="185">
        <f t="shared" si="9"/>
        <v>0</v>
      </c>
      <c r="K340" s="134">
        <f t="shared" si="9"/>
        <v>0</v>
      </c>
      <c r="L340" s="185">
        <f t="shared" si="9"/>
        <v>0</v>
      </c>
      <c r="M340" s="134">
        <f t="shared" si="9"/>
        <v>0</v>
      </c>
      <c r="N340" s="185">
        <f t="shared" si="9"/>
        <v>0</v>
      </c>
      <c r="O340" s="134">
        <f t="shared" si="9"/>
        <v>0</v>
      </c>
      <c r="P340" s="141">
        <f t="shared" si="9"/>
        <v>0</v>
      </c>
      <c r="Q340" s="134">
        <f t="shared" si="9"/>
        <v>0</v>
      </c>
      <c r="R340" s="141">
        <f t="shared" si="9"/>
        <v>0</v>
      </c>
      <c r="S340" s="134">
        <f t="shared" si="9"/>
        <v>0</v>
      </c>
      <c r="T340" s="185">
        <f t="shared" si="9"/>
        <v>0</v>
      </c>
      <c r="U340" s="134">
        <f t="shared" si="10"/>
        <v>0</v>
      </c>
      <c r="V340" s="141">
        <f t="shared" si="10"/>
        <v>0</v>
      </c>
      <c r="W340" s="134">
        <f t="shared" si="10"/>
        <v>0</v>
      </c>
      <c r="X340" s="141">
        <f t="shared" si="10"/>
        <v>0</v>
      </c>
      <c r="Y340" s="135">
        <f t="shared" si="10"/>
        <v>0</v>
      </c>
    </row>
    <row r="341" spans="2:25" ht="13.5" thickBot="1" x14ac:dyDescent="0.25">
      <c r="B341" s="133">
        <f t="shared" si="9"/>
        <v>0</v>
      </c>
      <c r="C341" s="134" t="str">
        <f t="shared" si="9"/>
        <v>סה"כ</v>
      </c>
      <c r="D341" s="146">
        <f t="shared" si="9"/>
        <v>141</v>
      </c>
      <c r="E341" s="134">
        <f t="shared" si="9"/>
        <v>0</v>
      </c>
      <c r="F341" s="146">
        <f t="shared" si="9"/>
        <v>193500</v>
      </c>
      <c r="G341" s="134">
        <f t="shared" si="9"/>
        <v>0</v>
      </c>
      <c r="H341" s="146">
        <f t="shared" si="9"/>
        <v>99994</v>
      </c>
      <c r="I341" s="134">
        <f t="shared" si="9"/>
        <v>0</v>
      </c>
      <c r="J341" s="146">
        <f t="shared" si="9"/>
        <v>93850</v>
      </c>
      <c r="K341" s="134">
        <f t="shared" si="9"/>
        <v>0</v>
      </c>
      <c r="L341" s="146">
        <f t="shared" si="9"/>
        <v>7133</v>
      </c>
      <c r="M341" s="134">
        <f t="shared" si="9"/>
        <v>0</v>
      </c>
      <c r="N341" s="146">
        <f t="shared" si="9"/>
        <v>16784</v>
      </c>
      <c r="O341" s="134">
        <f t="shared" si="9"/>
        <v>0</v>
      </c>
      <c r="P341" s="146">
        <f t="shared" si="9"/>
        <v>107127</v>
      </c>
      <c r="Q341" s="134">
        <f t="shared" si="9"/>
        <v>0</v>
      </c>
      <c r="R341" s="146">
        <f t="shared" si="9"/>
        <v>110634</v>
      </c>
      <c r="S341" s="134">
        <f t="shared" si="9"/>
        <v>0</v>
      </c>
      <c r="T341" s="146">
        <f t="shared" si="9"/>
        <v>13835</v>
      </c>
      <c r="U341" s="134">
        <f t="shared" si="10"/>
        <v>0</v>
      </c>
      <c r="V341" s="146">
        <f t="shared" si="10"/>
        <v>17342</v>
      </c>
      <c r="W341" s="134">
        <f t="shared" si="10"/>
        <v>0</v>
      </c>
      <c r="X341" s="146">
        <f t="shared" si="10"/>
        <v>-3507</v>
      </c>
      <c r="Y341" s="135">
        <f t="shared" si="10"/>
        <v>0</v>
      </c>
    </row>
    <row r="342" spans="2:25" ht="13.5" thickTop="1" x14ac:dyDescent="0.2">
      <c r="B342" s="133">
        <f t="shared" si="9"/>
        <v>0</v>
      </c>
      <c r="C342" s="134">
        <f t="shared" si="9"/>
        <v>0</v>
      </c>
      <c r="D342" s="134">
        <f t="shared" si="9"/>
        <v>0</v>
      </c>
      <c r="E342" s="134">
        <f t="shared" si="9"/>
        <v>0</v>
      </c>
      <c r="F342" s="134">
        <f t="shared" si="9"/>
        <v>0</v>
      </c>
      <c r="G342" s="134">
        <f t="shared" si="9"/>
        <v>0</v>
      </c>
      <c r="H342" s="134">
        <f t="shared" si="9"/>
        <v>0</v>
      </c>
      <c r="I342" s="134">
        <f t="shared" si="9"/>
        <v>0</v>
      </c>
      <c r="J342" s="134">
        <f t="shared" si="9"/>
        <v>0</v>
      </c>
      <c r="K342" s="134">
        <f t="shared" si="9"/>
        <v>0</v>
      </c>
      <c r="L342" s="134">
        <f t="shared" si="9"/>
        <v>0</v>
      </c>
      <c r="M342" s="134">
        <f t="shared" si="9"/>
        <v>0</v>
      </c>
      <c r="N342" s="134">
        <f t="shared" si="9"/>
        <v>0</v>
      </c>
      <c r="O342" s="134">
        <f t="shared" si="9"/>
        <v>0</v>
      </c>
      <c r="P342" s="134">
        <f t="shared" si="9"/>
        <v>0</v>
      </c>
      <c r="Q342" s="134">
        <f t="shared" si="9"/>
        <v>0</v>
      </c>
      <c r="R342" s="134">
        <f t="shared" si="9"/>
        <v>0</v>
      </c>
      <c r="S342" s="134">
        <f t="shared" si="9"/>
        <v>0</v>
      </c>
      <c r="T342" s="134">
        <f t="shared" si="9"/>
        <v>0</v>
      </c>
      <c r="U342" s="134">
        <f t="shared" si="10"/>
        <v>0</v>
      </c>
      <c r="V342" s="134">
        <f t="shared" si="10"/>
        <v>0</v>
      </c>
      <c r="W342" s="134">
        <f t="shared" si="10"/>
        <v>0</v>
      </c>
      <c r="X342" s="134">
        <f t="shared" si="10"/>
        <v>0</v>
      </c>
      <c r="Y342" s="135">
        <f t="shared" si="10"/>
        <v>0</v>
      </c>
    </row>
    <row r="343" spans="2:25" ht="30" customHeight="1" x14ac:dyDescent="0.2">
      <c r="B343" s="133"/>
      <c r="C343" s="221" t="s">
        <v>825</v>
      </c>
      <c r="D343" s="221">
        <f>BikoretCode</f>
        <v>0</v>
      </c>
      <c r="E343" s="134">
        <f>E39</f>
        <v>0</v>
      </c>
      <c r="F343" s="134">
        <f t="shared" si="9"/>
        <v>0</v>
      </c>
      <c r="G343" s="134">
        <f t="shared" si="9"/>
        <v>0</v>
      </c>
      <c r="H343" s="134">
        <f t="shared" si="9"/>
        <v>0</v>
      </c>
      <c r="I343" s="134">
        <f t="shared" si="9"/>
        <v>0</v>
      </c>
      <c r="J343" s="134">
        <f t="shared" si="9"/>
        <v>0</v>
      </c>
      <c r="K343" s="134">
        <f t="shared" si="9"/>
        <v>0</v>
      </c>
      <c r="L343" s="134">
        <f t="shared" si="9"/>
        <v>0</v>
      </c>
      <c r="M343" s="134">
        <f t="shared" si="9"/>
        <v>0</v>
      </c>
      <c r="N343" s="134">
        <f t="shared" si="9"/>
        <v>0</v>
      </c>
      <c r="O343" s="134">
        <f t="shared" si="9"/>
        <v>0</v>
      </c>
      <c r="P343" s="134">
        <f t="shared" si="9"/>
        <v>0</v>
      </c>
      <c r="Q343" s="134">
        <f t="shared" si="9"/>
        <v>0</v>
      </c>
      <c r="R343" s="134">
        <f t="shared" si="9"/>
        <v>0</v>
      </c>
      <c r="S343" s="134">
        <f t="shared" si="9"/>
        <v>0</v>
      </c>
      <c r="T343" s="134">
        <f t="shared" si="9"/>
        <v>0</v>
      </c>
      <c r="U343" s="134">
        <f t="shared" si="10"/>
        <v>0</v>
      </c>
      <c r="V343" s="134">
        <f t="shared" si="10"/>
        <v>0</v>
      </c>
      <c r="W343" s="134">
        <f t="shared" si="10"/>
        <v>0</v>
      </c>
      <c r="X343" s="134">
        <f t="shared" si="10"/>
        <v>0</v>
      </c>
      <c r="Y343" s="135">
        <f t="shared" si="10"/>
        <v>0</v>
      </c>
    </row>
  </sheetData>
  <sheetProtection password="83C1" sheet="1" objects="1" scenarios="1"/>
  <mergeCells count="6">
    <mergeCell ref="E306:T306"/>
    <mergeCell ref="E307:T307"/>
    <mergeCell ref="E1:Y1"/>
    <mergeCell ref="E2:Y2"/>
    <mergeCell ref="E3:Y3"/>
    <mergeCell ref="E305:T305"/>
  </mergeCells>
  <phoneticPr fontId="58" type="noConversion"/>
  <hyperlinks>
    <hyperlink ref="A4" location="'תוכן הענינים'!A1" tooltip="לחץ להצגת גליון תוכן הענינים" display="הצג תוכן ענינים"/>
  </hyperlinks>
  <printOptions horizontalCentered="1"/>
  <pageMargins left="0.23" right="0.33" top="1" bottom="0.79" header="0.5" footer="0.5"/>
  <pageSetup paperSize="9" scale="84" orientation="landscape" blackAndWhite="1" verticalDpi="0" r:id="rId1"/>
  <headerFooter alignWithMargins="0"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/>
  <dimension ref="A1:O345"/>
  <sheetViews>
    <sheetView showRowColHeaders="0" showZeros="0" rightToLeft="1" zoomScale="82" workbookViewId="0">
      <selection activeCell="A4" sqref="A4"/>
    </sheetView>
  </sheetViews>
  <sheetFormatPr defaultColWidth="9.140625" defaultRowHeight="12.75" x14ac:dyDescent="0.2"/>
  <cols>
    <col min="1" max="1" width="12.140625" style="107" customWidth="1"/>
    <col min="2" max="2" width="46.85546875" style="107" bestFit="1" customWidth="1"/>
    <col min="3" max="3" width="11.5703125" style="107" customWidth="1"/>
    <col min="4" max="4" width="2.7109375" style="107" customWidth="1"/>
    <col min="5" max="5" width="11.5703125" style="107" customWidth="1"/>
    <col min="6" max="6" width="2.7109375" style="107" customWidth="1"/>
    <col min="7" max="7" width="11.5703125" style="107" customWidth="1"/>
    <col min="8" max="8" width="2.7109375" style="107" customWidth="1"/>
    <col min="9" max="9" width="11.5703125" style="107" customWidth="1"/>
    <col min="10" max="10" width="2.7109375" style="107" customWidth="1"/>
    <col min="11" max="11" width="13" style="107" customWidth="1"/>
    <col min="12" max="12" width="2.7109375" style="107" customWidth="1"/>
    <col min="13" max="13" width="11.42578125" style="107" customWidth="1"/>
    <col min="14" max="14" width="5.140625" style="107" customWidth="1"/>
    <col min="15" max="16384" width="9.140625" style="107"/>
  </cols>
  <sheetData>
    <row r="1" spans="1:15" ht="19.5" thickTop="1" thickBot="1" x14ac:dyDescent="0.25">
      <c r="A1" s="106"/>
      <c r="B1" s="106"/>
      <c r="C1" s="639" t="str">
        <f>GufMevukar</f>
        <v>מ"א עמק הירדן</v>
      </c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1"/>
      <c r="O1" s="217" t="str">
        <f>'הגדרות כלליות'!G24</f>
        <v>כן</v>
      </c>
    </row>
    <row r="2" spans="1:15" ht="19.5" thickTop="1" thickBot="1" x14ac:dyDescent="0.25">
      <c r="A2" s="106"/>
      <c r="B2" s="106"/>
      <c r="C2" s="642" t="s">
        <v>770</v>
      </c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5"/>
      <c r="O2" s="106"/>
    </row>
    <row r="3" spans="1:15" ht="19.5" thickTop="1" thickBot="1" x14ac:dyDescent="0.25">
      <c r="A3" s="106"/>
      <c r="B3" s="106"/>
      <c r="C3" s="639" t="str">
        <f>ReportPeriod</f>
        <v>לתקופה: רבעון 1, שנת 2017</v>
      </c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1"/>
      <c r="O3" s="106"/>
    </row>
    <row r="4" spans="1:15" ht="13.5" thickTop="1" x14ac:dyDescent="0.2">
      <c r="A4" s="110" t="s">
        <v>584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/>
    </row>
    <row r="5" spans="1:15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x14ac:dyDescent="0.2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</row>
    <row r="7" spans="1:15" ht="51" customHeight="1" x14ac:dyDescent="0.2">
      <c r="A7" s="111"/>
      <c r="B7" s="113"/>
      <c r="C7" s="113" t="s">
        <v>771</v>
      </c>
      <c r="D7" s="113"/>
      <c r="E7" s="113" t="s">
        <v>772</v>
      </c>
      <c r="F7" s="113"/>
      <c r="G7" s="113" t="s">
        <v>773</v>
      </c>
      <c r="H7" s="113"/>
      <c r="I7" s="113" t="s">
        <v>774</v>
      </c>
      <c r="J7" s="113"/>
      <c r="K7" s="113" t="s">
        <v>775</v>
      </c>
      <c r="L7" s="113"/>
      <c r="M7" s="113" t="s">
        <v>776</v>
      </c>
      <c r="N7" s="113"/>
      <c r="O7" s="112"/>
    </row>
    <row r="8" spans="1:15" ht="23.25" customHeight="1" x14ac:dyDescent="0.2">
      <c r="A8" s="111"/>
      <c r="B8" s="218" t="s">
        <v>777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7"/>
      <c r="O8" s="112"/>
    </row>
    <row r="9" spans="1:15" x14ac:dyDescent="0.2">
      <c r="A9" s="111"/>
      <c r="B9" s="118" t="s">
        <v>778</v>
      </c>
      <c r="C9" s="119">
        <f>G30</f>
        <v>5495</v>
      </c>
      <c r="D9" s="116"/>
      <c r="E9" s="119">
        <v>4930</v>
      </c>
      <c r="F9" s="116"/>
      <c r="G9" s="119">
        <v>4930</v>
      </c>
      <c r="H9" s="116"/>
      <c r="I9" s="119">
        <f>417</f>
        <v>417</v>
      </c>
      <c r="J9" s="116"/>
      <c r="K9" s="119">
        <v>417</v>
      </c>
      <c r="L9" s="116"/>
      <c r="M9" s="119">
        <v>417</v>
      </c>
      <c r="N9" s="117"/>
      <c r="O9" s="112"/>
    </row>
    <row r="10" spans="1:15" x14ac:dyDescent="0.2">
      <c r="A10" s="111"/>
      <c r="B10" s="118" t="s">
        <v>779</v>
      </c>
      <c r="C10" s="119">
        <f>-3.5+2.68</f>
        <v>-0.81999999999999984</v>
      </c>
      <c r="D10" s="116"/>
      <c r="E10" s="119">
        <v>-56</v>
      </c>
      <c r="F10" s="116"/>
      <c r="G10" s="119">
        <v>-297</v>
      </c>
      <c r="H10" s="116"/>
      <c r="I10" s="119"/>
      <c r="J10" s="116"/>
      <c r="K10" s="119"/>
      <c r="L10" s="116"/>
      <c r="M10" s="119">
        <v>-28</v>
      </c>
      <c r="N10" s="117"/>
      <c r="O10" s="112"/>
    </row>
    <row r="11" spans="1:15" x14ac:dyDescent="0.2">
      <c r="A11" s="111"/>
      <c r="B11" s="115" t="s">
        <v>780</v>
      </c>
      <c r="C11" s="119"/>
      <c r="D11" s="116"/>
      <c r="E11" s="119"/>
      <c r="F11" s="116"/>
      <c r="G11" s="119"/>
      <c r="H11" s="116"/>
      <c r="I11" s="119"/>
      <c r="J11" s="116"/>
      <c r="K11" s="119"/>
      <c r="L11" s="116"/>
      <c r="M11" s="119"/>
      <c r="N11" s="117"/>
      <c r="O11" s="112"/>
    </row>
    <row r="12" spans="1:15" x14ac:dyDescent="0.2">
      <c r="A12" s="111"/>
      <c r="B12" s="115" t="s">
        <v>781</v>
      </c>
      <c r="C12" s="119">
        <f>8.93-1.42+8.8-1.86+7.97-1.68+4.28-0.9+3.97-0.84+8.01-1.7+4.23-0.89+8.29-1.76+7.25-1.53+8.22-1.75+5.56-1.19+4.99-1.11</f>
        <v>63.870000000000005</v>
      </c>
      <c r="D12" s="116"/>
      <c r="E12" s="119">
        <v>32</v>
      </c>
      <c r="F12" s="116"/>
      <c r="G12" s="119">
        <v>236</v>
      </c>
      <c r="H12" s="116"/>
      <c r="I12" s="178">
        <f>0.28-0.06+0.44-0.09+0.2-0.04+0.45-0.09+0.45-0.09+0.53-0.11+0.5-0.1+0.54-0.12+1-0.2</f>
        <v>3.4899999999999993</v>
      </c>
      <c r="J12" s="116"/>
      <c r="K12" s="119">
        <v>4</v>
      </c>
      <c r="L12" s="116"/>
      <c r="M12" s="119">
        <v>20</v>
      </c>
      <c r="N12" s="117"/>
      <c r="O12" s="112"/>
    </row>
    <row r="13" spans="1:15" x14ac:dyDescent="0.2">
      <c r="A13" s="111"/>
      <c r="B13" s="118" t="s">
        <v>7</v>
      </c>
      <c r="C13" s="119">
        <f>-3.4</f>
        <v>-3.4</v>
      </c>
      <c r="D13" s="116"/>
      <c r="E13" s="119"/>
      <c r="F13" s="116"/>
      <c r="G13" s="119">
        <v>-48</v>
      </c>
      <c r="H13" s="116"/>
      <c r="I13" s="119"/>
      <c r="J13" s="116"/>
      <c r="K13" s="119"/>
      <c r="L13" s="116"/>
      <c r="M13" s="119"/>
      <c r="N13" s="117"/>
      <c r="O13" s="112"/>
    </row>
    <row r="14" spans="1:15" x14ac:dyDescent="0.2">
      <c r="A14" s="111"/>
      <c r="B14" s="118" t="s">
        <v>8</v>
      </c>
      <c r="C14" s="119"/>
      <c r="D14" s="116"/>
      <c r="E14" s="119"/>
      <c r="F14" s="116"/>
      <c r="G14" s="119"/>
      <c r="H14" s="116"/>
      <c r="I14" s="119"/>
      <c r="J14" s="116"/>
      <c r="K14" s="119"/>
      <c r="L14" s="116"/>
      <c r="M14" s="119"/>
      <c r="N14" s="117"/>
      <c r="O14" s="112"/>
    </row>
    <row r="15" spans="1:15" x14ac:dyDescent="0.2">
      <c r="A15" s="111"/>
      <c r="B15" s="115" t="s">
        <v>783</v>
      </c>
      <c r="C15" s="68">
        <f>SUM(C9:C14)</f>
        <v>5554.6500000000005</v>
      </c>
      <c r="D15" s="116"/>
      <c r="E15" s="68">
        <f>SUM(E9:E14)</f>
        <v>4906</v>
      </c>
      <c r="F15" s="116"/>
      <c r="G15" s="68">
        <f>SUM(G9:G14)</f>
        <v>4821</v>
      </c>
      <c r="H15" s="116"/>
      <c r="I15" s="68">
        <f>SUM(I9:I14)</f>
        <v>420.49</v>
      </c>
      <c r="J15" s="116"/>
      <c r="K15" s="68">
        <f>SUM(K9:K14)</f>
        <v>421</v>
      </c>
      <c r="L15" s="116"/>
      <c r="M15" s="68">
        <f>SUM(M9:M14)</f>
        <v>409</v>
      </c>
      <c r="N15" s="117"/>
      <c r="O15" s="112"/>
    </row>
    <row r="16" spans="1:15" x14ac:dyDescent="0.2">
      <c r="A16" s="111"/>
      <c r="B16" s="115" t="s">
        <v>784</v>
      </c>
      <c r="C16" s="123">
        <v>410</v>
      </c>
      <c r="D16" s="116"/>
      <c r="E16" s="123">
        <v>267</v>
      </c>
      <c r="F16" s="116"/>
      <c r="G16" s="123">
        <v>608</v>
      </c>
      <c r="H16" s="116"/>
      <c r="I16" s="123">
        <v>38.5</v>
      </c>
      <c r="J16" s="116"/>
      <c r="K16" s="123">
        <v>19</v>
      </c>
      <c r="L16" s="116"/>
      <c r="M16" s="123">
        <v>56</v>
      </c>
      <c r="N16" s="117"/>
      <c r="O16" s="112"/>
    </row>
    <row r="17" spans="1:15" x14ac:dyDescent="0.2">
      <c r="A17" s="111"/>
      <c r="B17" s="115" t="s">
        <v>785</v>
      </c>
      <c r="C17" s="68">
        <f>C15-C16</f>
        <v>5144.6500000000005</v>
      </c>
      <c r="D17" s="116"/>
      <c r="E17" s="68">
        <f>E15-E16</f>
        <v>4639</v>
      </c>
      <c r="F17" s="116"/>
      <c r="G17" s="68">
        <f>G15-G16</f>
        <v>4213</v>
      </c>
      <c r="H17" s="116"/>
      <c r="I17" s="68">
        <f>I15-I16</f>
        <v>381.99</v>
      </c>
      <c r="J17" s="116"/>
      <c r="K17" s="68">
        <f>K15-K16</f>
        <v>402</v>
      </c>
      <c r="L17" s="116"/>
      <c r="M17" s="68">
        <f>M15-M16</f>
        <v>353</v>
      </c>
      <c r="N17" s="117"/>
      <c r="O17" s="112"/>
    </row>
    <row r="18" spans="1:15" ht="22.5" customHeight="1" x14ac:dyDescent="0.2">
      <c r="A18" s="111"/>
      <c r="B18" s="218" t="s">
        <v>786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7"/>
      <c r="O18" s="112"/>
    </row>
    <row r="19" spans="1:15" x14ac:dyDescent="0.2">
      <c r="A19" s="111"/>
      <c r="B19" s="115" t="s">
        <v>787</v>
      </c>
      <c r="C19" s="119">
        <f>53917/4</f>
        <v>13479.25</v>
      </c>
      <c r="D19" s="116"/>
      <c r="E19" s="119">
        <v>21003</v>
      </c>
      <c r="F19" s="116"/>
      <c r="G19" s="178">
        <v>53133</v>
      </c>
      <c r="H19" s="116"/>
      <c r="I19" s="119">
        <v>310</v>
      </c>
      <c r="J19" s="116"/>
      <c r="K19" s="119">
        <v>274</v>
      </c>
      <c r="L19" s="116"/>
      <c r="M19" s="119">
        <v>1057</v>
      </c>
      <c r="N19" s="117"/>
      <c r="O19" s="112"/>
    </row>
    <row r="20" spans="1:15" x14ac:dyDescent="0.2">
      <c r="A20" s="111"/>
      <c r="B20" s="115" t="s">
        <v>788</v>
      </c>
      <c r="C20" s="119">
        <f>21392-C19-25+6.4-0.7-(1158+329-1192)</f>
        <v>7598.45</v>
      </c>
      <c r="D20" s="116"/>
      <c r="E20" s="119">
        <v>-33</v>
      </c>
      <c r="F20" s="116"/>
      <c r="G20" s="119">
        <f>-95+60</f>
        <v>-35</v>
      </c>
      <c r="H20" s="116"/>
      <c r="I20" s="119">
        <f>0.35-0.06</f>
        <v>0.28999999999999998</v>
      </c>
      <c r="J20" s="116"/>
      <c r="K20" s="119"/>
      <c r="L20" s="116"/>
      <c r="M20" s="119">
        <f>2+6</f>
        <v>8</v>
      </c>
      <c r="N20" s="117"/>
      <c r="O20" s="112"/>
    </row>
    <row r="21" spans="1:15" x14ac:dyDescent="0.2">
      <c r="A21" s="111"/>
      <c r="B21" s="118" t="s">
        <v>7</v>
      </c>
      <c r="C21" s="119">
        <f>-271-921</f>
        <v>-1192</v>
      </c>
      <c r="D21" s="116"/>
      <c r="E21" s="119">
        <v>-982</v>
      </c>
      <c r="F21" s="116"/>
      <c r="G21" s="119">
        <v>-4587</v>
      </c>
      <c r="H21" s="116"/>
      <c r="I21" s="178"/>
      <c r="J21" s="116"/>
      <c r="K21" s="119"/>
      <c r="L21" s="116"/>
      <c r="M21" s="119"/>
      <c r="N21" s="117"/>
      <c r="O21" s="112"/>
    </row>
    <row r="22" spans="1:15" x14ac:dyDescent="0.2">
      <c r="A22" s="111"/>
      <c r="B22" s="118" t="s">
        <v>782</v>
      </c>
      <c r="C22" s="119"/>
      <c r="D22" s="116"/>
      <c r="E22" s="119"/>
      <c r="F22" s="116"/>
      <c r="G22" s="119">
        <v>-145</v>
      </c>
      <c r="H22" s="116"/>
      <c r="I22" s="119"/>
      <c r="J22" s="116"/>
      <c r="K22" s="119"/>
      <c r="L22" s="116"/>
      <c r="M22" s="119"/>
      <c r="N22" s="117"/>
      <c r="O22" s="112"/>
    </row>
    <row r="23" spans="1:15" x14ac:dyDescent="0.2">
      <c r="A23" s="111"/>
      <c r="B23" s="115" t="s">
        <v>789</v>
      </c>
      <c r="C23" s="68">
        <f>SUM(C19:C22)</f>
        <v>19885.7</v>
      </c>
      <c r="D23" s="116"/>
      <c r="E23" s="68">
        <f>SUM(E19:E22)</f>
        <v>19988</v>
      </c>
      <c r="F23" s="116"/>
      <c r="G23" s="68">
        <f>SUM(G19:G22)</f>
        <v>48366</v>
      </c>
      <c r="H23" s="116"/>
      <c r="I23" s="68">
        <f>SUM(I19:I22)</f>
        <v>310.29000000000002</v>
      </c>
      <c r="J23" s="116"/>
      <c r="K23" s="68">
        <f>SUM(K19:K22)</f>
        <v>274</v>
      </c>
      <c r="L23" s="116"/>
      <c r="M23" s="68">
        <f>SUM(M19:M22)</f>
        <v>1065</v>
      </c>
      <c r="N23" s="117"/>
      <c r="O23" s="112"/>
    </row>
    <row r="24" spans="1:15" x14ac:dyDescent="0.2">
      <c r="A24" s="111"/>
      <c r="B24" s="118" t="s">
        <v>790</v>
      </c>
      <c r="C24" s="123">
        <v>3624</v>
      </c>
      <c r="D24" s="116"/>
      <c r="E24" s="123">
        <v>4322</v>
      </c>
      <c r="F24" s="116"/>
      <c r="G24" s="123"/>
      <c r="H24" s="116"/>
      <c r="I24" s="123"/>
      <c r="J24" s="116"/>
      <c r="K24" s="123"/>
      <c r="L24" s="116"/>
      <c r="M24" s="123"/>
      <c r="N24" s="117"/>
      <c r="O24" s="112"/>
    </row>
    <row r="25" spans="1:15" x14ac:dyDescent="0.2">
      <c r="A25" s="111"/>
      <c r="B25" s="115" t="s">
        <v>786</v>
      </c>
      <c r="C25" s="119">
        <f>15844-3624</f>
        <v>12220</v>
      </c>
      <c r="D25" s="116"/>
      <c r="E25" s="119">
        <v>11997</v>
      </c>
      <c r="F25" s="116"/>
      <c r="G25" s="119">
        <v>47084</v>
      </c>
      <c r="H25" s="116"/>
      <c r="I25" s="119">
        <v>189</v>
      </c>
      <c r="J25" s="116"/>
      <c r="K25" s="119">
        <v>187</v>
      </c>
      <c r="L25" s="116"/>
      <c r="M25" s="119">
        <v>934</v>
      </c>
      <c r="N25" s="117"/>
      <c r="O25" s="112"/>
    </row>
    <row r="26" spans="1:15" x14ac:dyDescent="0.2">
      <c r="A26" s="111"/>
      <c r="B26" s="115" t="s">
        <v>791</v>
      </c>
      <c r="C26" s="68">
        <f>SUM(C24:C25)</f>
        <v>15844</v>
      </c>
      <c r="D26" s="116"/>
      <c r="E26" s="68">
        <f>SUM(E24:E25)</f>
        <v>16319</v>
      </c>
      <c r="F26" s="116"/>
      <c r="G26" s="68">
        <f>SUM(G24:G25)</f>
        <v>47084</v>
      </c>
      <c r="H26" s="116"/>
      <c r="I26" s="68">
        <f>SUM(I24:I25)</f>
        <v>189</v>
      </c>
      <c r="J26" s="116"/>
      <c r="K26" s="68">
        <f>SUM(K24:K25)</f>
        <v>187</v>
      </c>
      <c r="L26" s="116"/>
      <c r="M26" s="68">
        <f>SUM(M24:M25)</f>
        <v>934</v>
      </c>
      <c r="N26" s="117"/>
      <c r="O26" s="112"/>
    </row>
    <row r="27" spans="1:15" ht="2.25" customHeight="1" x14ac:dyDescent="0.2">
      <c r="A27" s="111"/>
      <c r="B27" s="115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7"/>
      <c r="O27" s="112"/>
    </row>
    <row r="28" spans="1:15" x14ac:dyDescent="0.2">
      <c r="A28" s="111"/>
      <c r="B28" s="115" t="s">
        <v>792</v>
      </c>
      <c r="C28" s="68">
        <f>C23-C26</f>
        <v>4041.7000000000007</v>
      </c>
      <c r="D28" s="116"/>
      <c r="E28" s="68">
        <f>E23-E26</f>
        <v>3669</v>
      </c>
      <c r="F28" s="116"/>
      <c r="G28" s="68">
        <f>G23-G26</f>
        <v>1282</v>
      </c>
      <c r="H28" s="116"/>
      <c r="I28" s="68">
        <f>I23-I26</f>
        <v>121.29000000000002</v>
      </c>
      <c r="J28" s="116"/>
      <c r="K28" s="68">
        <f>K23-K26</f>
        <v>87</v>
      </c>
      <c r="L28" s="116"/>
      <c r="M28" s="68">
        <f>M23-M26</f>
        <v>131</v>
      </c>
      <c r="N28" s="117"/>
      <c r="O28" s="112"/>
    </row>
    <row r="29" spans="1:15" ht="2.25" customHeight="1" x14ac:dyDescent="0.2">
      <c r="A29" s="111"/>
      <c r="B29" s="115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7"/>
      <c r="O29" s="112"/>
    </row>
    <row r="30" spans="1:15" ht="13.5" thickBot="1" x14ac:dyDescent="0.25">
      <c r="A30" s="111"/>
      <c r="B30" s="115" t="s">
        <v>793</v>
      </c>
      <c r="C30" s="125">
        <f>C17+C28</f>
        <v>9186.3500000000022</v>
      </c>
      <c r="D30" s="116"/>
      <c r="E30" s="125">
        <f>E17+E28</f>
        <v>8308</v>
      </c>
      <c r="F30" s="116"/>
      <c r="G30" s="125">
        <f>G17+G28</f>
        <v>5495</v>
      </c>
      <c r="H30" s="116"/>
      <c r="I30" s="125">
        <f>I17+I28</f>
        <v>503.28000000000003</v>
      </c>
      <c r="J30" s="116"/>
      <c r="K30" s="125">
        <f>K17+K28</f>
        <v>489</v>
      </c>
      <c r="L30" s="116"/>
      <c r="M30" s="125">
        <f>M17+M28</f>
        <v>484</v>
      </c>
      <c r="N30" s="117"/>
      <c r="O30" s="112"/>
    </row>
    <row r="31" spans="1:15" ht="13.5" thickTop="1" x14ac:dyDescent="0.2">
      <c r="A31" s="111"/>
      <c r="B31" s="115" t="s">
        <v>794</v>
      </c>
      <c r="C31" s="124">
        <f>IF(C15&lt;&gt;0,ABS(C16)/C15,0)</f>
        <v>7.3812031361111849E-2</v>
      </c>
      <c r="D31" s="116"/>
      <c r="E31" s="124">
        <f>IF(E15&lt;&gt;0,ABS(E16)/E15,0)</f>
        <v>5.4423155320016306E-2</v>
      </c>
      <c r="F31" s="116"/>
      <c r="G31" s="124">
        <f>IF(G15&lt;&gt;0,ABS(G16)/G15,0)</f>
        <v>0.12611491391827423</v>
      </c>
      <c r="H31" s="116"/>
      <c r="I31" s="124">
        <f>IF(I15&lt;&gt;0,ABS(I16)/I15,0)</f>
        <v>9.1559846845347098E-2</v>
      </c>
      <c r="J31" s="116"/>
      <c r="K31" s="124">
        <f>IF(K15&lt;&gt;0,ABS(K16)/K15,0)</f>
        <v>4.5130641330166268E-2</v>
      </c>
      <c r="L31" s="116"/>
      <c r="M31" s="124">
        <f>IF(M15&lt;&gt;0,ABS(M16)/M15,0)</f>
        <v>0.13691931540342298</v>
      </c>
      <c r="N31" s="117"/>
      <c r="O31" s="112"/>
    </row>
    <row r="32" spans="1:15" ht="25.5" x14ac:dyDescent="0.2">
      <c r="A32" s="111"/>
      <c r="B32" s="490" t="s">
        <v>396</v>
      </c>
      <c r="C32" s="121">
        <f>IF(C$26&lt;&gt;0,ABS(C$26)/C$23,0)</f>
        <v>0.79675344594356745</v>
      </c>
      <c r="D32" s="116"/>
      <c r="E32" s="121">
        <f>IF(E$26&lt;&gt;0,ABS(E$26)/E$23,0)</f>
        <v>0.81643986391835099</v>
      </c>
      <c r="F32" s="116"/>
      <c r="G32" s="121">
        <f>IF(G$26&lt;&gt;0,ABS(G$26)/G$23,0)</f>
        <v>0.97349377661993963</v>
      </c>
      <c r="H32" s="116"/>
      <c r="I32" s="121">
        <f>IF(I$26&lt;&gt;0,ABS(I$26)/($I$23),0)</f>
        <v>0.6091076090109252</v>
      </c>
      <c r="J32" s="116"/>
      <c r="K32" s="121">
        <f>IF(K$26&lt;&gt;0,ABS(K$26)/K$23,0)</f>
        <v>0.68248175182481752</v>
      </c>
      <c r="L32" s="116"/>
      <c r="M32" s="121">
        <f>IF(M$26&lt;&gt;0,ABS(M$26)/M$23,0)</f>
        <v>0.87699530516431923</v>
      </c>
      <c r="N32" s="117"/>
      <c r="O32" s="112"/>
    </row>
    <row r="33" spans="1:15" x14ac:dyDescent="0.2">
      <c r="A33" s="111"/>
      <c r="B33" s="490" t="s">
        <v>395</v>
      </c>
      <c r="C33" s="121">
        <f>IF((C19+C20)&lt;&gt;0,ABS(C25)/(C19+C20),0)</f>
        <v>0.57975965119533912</v>
      </c>
      <c r="D33" s="116"/>
      <c r="E33" s="121">
        <f>IF((E19+E20)&lt;&gt;0,ABS(E25)/(E19+E20),0)</f>
        <v>0.57210300429184546</v>
      </c>
      <c r="F33" s="116"/>
      <c r="G33" s="121">
        <f>IF((G19+G20)&lt;&gt;0,ABS(G25)/(G19+G20),0)</f>
        <v>0.8867377302346604</v>
      </c>
      <c r="H33" s="116"/>
      <c r="I33" s="121">
        <f>IF((I19+I20)&lt;&gt;0,ABS(I25)/(I19+I20),0)</f>
        <v>0.6091076090109252</v>
      </c>
      <c r="J33" s="116"/>
      <c r="K33" s="121">
        <f>IF((K19+K20)&lt;&gt;0,ABS(K25)/(K19+K20),0)</f>
        <v>0.68248175182481752</v>
      </c>
      <c r="L33" s="116"/>
      <c r="M33" s="121">
        <f>IF((M19+M20)&lt;&gt;0,ABS(M25)/(M19+M20),0)</f>
        <v>0.87699530516431923</v>
      </c>
      <c r="N33" s="117"/>
      <c r="O33" s="112"/>
    </row>
    <row r="34" spans="1:15" x14ac:dyDescent="0.2">
      <c r="A34" s="111"/>
      <c r="B34" s="118" t="s">
        <v>397</v>
      </c>
      <c r="C34" s="472">
        <f>IF((C19+C20)&lt;&gt;0,ABS(C26)/(C19+C20),0)</f>
        <v>0.75169491927487342</v>
      </c>
      <c r="D34" s="116"/>
      <c r="E34" s="472">
        <f>IF((E19+E20)&lt;&gt;0,ABS(E26)/(E19+E20),0)</f>
        <v>0.77820696232713404</v>
      </c>
      <c r="F34" s="116"/>
      <c r="G34" s="472">
        <f>IF((G19+G20)&lt;&gt;0,ABS(G26)/(G19+G20),0)</f>
        <v>0.8867377302346604</v>
      </c>
      <c r="H34" s="116"/>
      <c r="I34" s="472">
        <f>IF((I19+I20)&lt;&gt;0,ABS(I26)/(I19+I20),0)</f>
        <v>0.6091076090109252</v>
      </c>
      <c r="J34" s="116"/>
      <c r="K34" s="472">
        <f>IF((K19+K20)&lt;&gt;0,ABS(K26)/(K19+K20),0)</f>
        <v>0.68248175182481752</v>
      </c>
      <c r="L34" s="116"/>
      <c r="M34" s="472">
        <f>IF((M19+M20)&lt;&gt;0,ABS(M26)/(M19+M20),0)</f>
        <v>0.87699530516431923</v>
      </c>
      <c r="N34" s="117"/>
      <c r="O34" s="112"/>
    </row>
    <row r="35" spans="1:15" x14ac:dyDescent="0.2">
      <c r="A35" s="111"/>
      <c r="B35" s="118" t="s">
        <v>448</v>
      </c>
      <c r="C35" s="121">
        <f>IF((C15+C23)&lt;&gt;0,(C26+C16)/(C23+C15),0)</f>
        <v>0.63890630435508944</v>
      </c>
      <c r="D35" s="116"/>
      <c r="E35" s="121">
        <f>IF((E15+E23)&lt;&gt;0,(E26+E16)/(E23+E15),0)</f>
        <v>0.66626496344500685</v>
      </c>
      <c r="F35" s="116"/>
      <c r="G35" s="121">
        <f>IF((G15+G23)&lt;&gt;0,(G26+G16)/(G23+G15),0)</f>
        <v>0.89668528023765204</v>
      </c>
      <c r="H35" s="116"/>
      <c r="I35" s="121">
        <f>IF((I15+I23)&lt;&gt;0,(I26+I16)/(I23+I15),0)</f>
        <v>0.31131120172965876</v>
      </c>
      <c r="J35" s="116"/>
      <c r="K35" s="121">
        <f>IF((K15+K23)&lt;&gt;0,(K26+K16)/(K23+K15),0)</f>
        <v>0.29640287769784174</v>
      </c>
      <c r="L35" s="116"/>
      <c r="M35" s="121">
        <f>IF((M15+M23)&lt;&gt;0,(M26+M16)/(M23+M15),0)</f>
        <v>0.67164179104477617</v>
      </c>
      <c r="N35" s="117"/>
      <c r="O35" s="112"/>
    </row>
    <row r="36" spans="1:15" x14ac:dyDescent="0.2">
      <c r="A36" s="111"/>
      <c r="B36" s="115" t="s">
        <v>795</v>
      </c>
      <c r="C36" s="116"/>
      <c r="D36" s="116"/>
      <c r="E36" s="116"/>
      <c r="F36" s="116"/>
      <c r="G36" s="116"/>
      <c r="H36" s="116"/>
      <c r="I36" s="119"/>
      <c r="J36" s="116"/>
      <c r="K36" s="119"/>
      <c r="L36" s="116"/>
      <c r="M36" s="119"/>
      <c r="N36" s="117"/>
      <c r="O36" s="112"/>
    </row>
    <row r="37" spans="1:15" x14ac:dyDescent="0.2">
      <c r="A37" s="111"/>
      <c r="B37" s="118" t="s">
        <v>796</v>
      </c>
      <c r="C37" s="116"/>
      <c r="D37" s="116"/>
      <c r="E37" s="116"/>
      <c r="F37" s="116"/>
      <c r="G37" s="116"/>
      <c r="H37" s="116"/>
      <c r="I37" s="119">
        <f>14.45+14.32+15.91</f>
        <v>44.68</v>
      </c>
      <c r="J37" s="116"/>
      <c r="K37" s="119"/>
      <c r="L37" s="116"/>
      <c r="M37" s="119">
        <v>232</v>
      </c>
      <c r="N37" s="117"/>
      <c r="O37" s="112"/>
    </row>
    <row r="38" spans="1:15" x14ac:dyDescent="0.2">
      <c r="A38" s="111"/>
      <c r="B38" s="118" t="s">
        <v>797</v>
      </c>
      <c r="C38" s="116"/>
      <c r="D38" s="116"/>
      <c r="E38" s="116"/>
      <c r="F38" s="116"/>
      <c r="G38" s="116"/>
      <c r="H38" s="116"/>
      <c r="I38" s="119">
        <f>13.18+6.58+15.24+6.83</f>
        <v>41.83</v>
      </c>
      <c r="J38" s="116"/>
      <c r="K38" s="119"/>
      <c r="L38" s="116"/>
      <c r="M38" s="119">
        <v>151</v>
      </c>
      <c r="N38" s="117"/>
      <c r="O38" s="112"/>
    </row>
    <row r="39" spans="1:15" x14ac:dyDescent="0.2">
      <c r="A39" s="111"/>
      <c r="B39" s="115" t="s">
        <v>798</v>
      </c>
      <c r="C39" s="116"/>
      <c r="D39" s="116"/>
      <c r="E39" s="116"/>
      <c r="F39" s="116"/>
      <c r="G39" s="116"/>
      <c r="H39" s="116"/>
      <c r="I39" s="120">
        <f>I37-I38</f>
        <v>2.8500000000000014</v>
      </c>
      <c r="J39" s="116"/>
      <c r="K39" s="120">
        <f>K37-K38</f>
        <v>0</v>
      </c>
      <c r="L39" s="116"/>
      <c r="M39" s="120">
        <f>M37-M38</f>
        <v>81</v>
      </c>
      <c r="N39" s="117"/>
      <c r="O39" s="112"/>
    </row>
    <row r="40" spans="1:15" x14ac:dyDescent="0.2">
      <c r="A40" s="111"/>
      <c r="B40" s="115" t="s">
        <v>799</v>
      </c>
      <c r="C40" s="116"/>
      <c r="D40" s="116"/>
      <c r="E40" s="116"/>
      <c r="F40" s="116"/>
      <c r="G40" s="116"/>
      <c r="H40" s="116"/>
      <c r="I40" s="121">
        <f>IF(I37=0,0,I39/I37)</f>
        <v>6.3786929274843363E-2</v>
      </c>
      <c r="J40" s="116"/>
      <c r="K40" s="121">
        <f>IF(K37=0,0,K39/K37)</f>
        <v>0</v>
      </c>
      <c r="L40" s="116"/>
      <c r="M40" s="121">
        <f>IF(M37=0,0,M39/M37)</f>
        <v>0.34913793103448276</v>
      </c>
      <c r="N40" s="117"/>
      <c r="O40" s="112"/>
    </row>
    <row r="41" spans="1:15" x14ac:dyDescent="0.2">
      <c r="A41" s="111"/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7"/>
      <c r="O41" s="112"/>
    </row>
    <row r="42" spans="1:15" x14ac:dyDescent="0.2">
      <c r="A42" s="111"/>
      <c r="B42" s="126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80"/>
      <c r="O42" s="112"/>
    </row>
    <row r="43" spans="1:15" x14ac:dyDescent="0.2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2"/>
    </row>
    <row r="44" spans="1:15" x14ac:dyDescent="0.2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2"/>
    </row>
    <row r="45" spans="1:15" ht="13.5" thickBot="1" x14ac:dyDescent="0.25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9"/>
    </row>
    <row r="46" spans="1:15" ht="13.5" thickTop="1" x14ac:dyDescent="0.2"/>
    <row r="303" spans="2:13" ht="18" x14ac:dyDescent="0.2">
      <c r="B303" s="643" t="str">
        <f>C1</f>
        <v>מ"א עמק הירדן</v>
      </c>
      <c r="C303" s="643"/>
      <c r="D303" s="643"/>
      <c r="E303" s="643"/>
      <c r="F303" s="643"/>
      <c r="G303" s="643"/>
      <c r="H303" s="643"/>
      <c r="I303" s="643"/>
      <c r="J303" s="643"/>
      <c r="K303" s="643"/>
      <c r="L303" s="643"/>
      <c r="M303" s="643"/>
    </row>
    <row r="304" spans="2:13" ht="18" x14ac:dyDescent="0.2">
      <c r="B304" s="643" t="str">
        <f>C2</f>
        <v>דוח גבייה ויתרת חייבים באלפי ₪</v>
      </c>
      <c r="C304" s="643"/>
      <c r="D304" s="643"/>
      <c r="E304" s="643"/>
      <c r="F304" s="643"/>
      <c r="G304" s="643"/>
      <c r="H304" s="643"/>
      <c r="I304" s="643"/>
      <c r="J304" s="643"/>
      <c r="K304" s="643"/>
      <c r="L304" s="643"/>
      <c r="M304" s="643"/>
    </row>
    <row r="305" spans="2:14" ht="18" x14ac:dyDescent="0.2">
      <c r="B305" s="643" t="str">
        <f>C3</f>
        <v>לתקופה: רבעון 1, שנת 2017</v>
      </c>
      <c r="C305" s="643"/>
      <c r="D305" s="643"/>
      <c r="E305" s="643"/>
      <c r="F305" s="643"/>
      <c r="G305" s="643"/>
      <c r="H305" s="643"/>
      <c r="I305" s="643"/>
      <c r="J305" s="643"/>
      <c r="K305" s="643"/>
      <c r="L305" s="643"/>
      <c r="M305" s="643"/>
    </row>
    <row r="306" spans="2:14" ht="8.25" customHeight="1" x14ac:dyDescent="0.2"/>
    <row r="307" spans="2:14" ht="6" customHeight="1" x14ac:dyDescent="0.2"/>
    <row r="308" spans="2:14" ht="8.25" customHeight="1" x14ac:dyDescent="0.2"/>
    <row r="309" spans="2:14" ht="38.25" x14ac:dyDescent="0.2">
      <c r="B309" s="132"/>
      <c r="C309" s="132" t="str">
        <f t="shared" ref="C309:N324" si="0">C7</f>
        <v>ארנונה השנה עד רבעון זה</v>
      </c>
      <c r="D309" s="132">
        <f t="shared" si="0"/>
        <v>0</v>
      </c>
      <c r="E309" s="132" t="str">
        <f t="shared" si="0"/>
        <v>ארנונה שנה קודמת רבעון מקביל</v>
      </c>
      <c r="F309" s="132">
        <f t="shared" si="0"/>
        <v>0</v>
      </c>
      <c r="G309" s="132" t="str">
        <f t="shared" si="0"/>
        <v>ארנונה סה"כ שנה קודמת</v>
      </c>
      <c r="H309" s="132">
        <f t="shared" si="0"/>
        <v>0</v>
      </c>
      <c r="I309" s="132" t="str">
        <f t="shared" si="0"/>
        <v>מים השנה עד רבעון זה</v>
      </c>
      <c r="J309" s="132">
        <f t="shared" si="0"/>
        <v>0</v>
      </c>
      <c r="K309" s="132" t="str">
        <f t="shared" si="0"/>
        <v>מים שנה קודמת רבעון מקביל</v>
      </c>
      <c r="L309" s="132">
        <f t="shared" si="0"/>
        <v>0</v>
      </c>
      <c r="M309" s="132" t="str">
        <f t="shared" si="0"/>
        <v>מים סה"כ שנה קודמת</v>
      </c>
      <c r="N309" s="132">
        <f t="shared" si="0"/>
        <v>0</v>
      </c>
    </row>
    <row r="310" spans="2:14" ht="15.75" x14ac:dyDescent="0.2">
      <c r="B310" s="136" t="str">
        <f t="shared" ref="B310:B325" si="1">B8</f>
        <v>גביית פיגורים</v>
      </c>
      <c r="C310" s="134">
        <f t="shared" si="0"/>
        <v>0</v>
      </c>
      <c r="D310" s="134">
        <f t="shared" si="0"/>
        <v>0</v>
      </c>
      <c r="E310" s="134">
        <f t="shared" si="0"/>
        <v>0</v>
      </c>
      <c r="F310" s="134">
        <f t="shared" si="0"/>
        <v>0</v>
      </c>
      <c r="G310" s="134">
        <f t="shared" si="0"/>
        <v>0</v>
      </c>
      <c r="H310" s="134">
        <f t="shared" si="0"/>
        <v>0</v>
      </c>
      <c r="I310" s="134">
        <f t="shared" si="0"/>
        <v>0</v>
      </c>
      <c r="J310" s="134">
        <f t="shared" si="0"/>
        <v>0</v>
      </c>
      <c r="K310" s="134">
        <f t="shared" si="0"/>
        <v>0</v>
      </c>
      <c r="L310" s="134">
        <f t="shared" si="0"/>
        <v>0</v>
      </c>
      <c r="M310" s="134">
        <f t="shared" si="0"/>
        <v>0</v>
      </c>
      <c r="N310" s="135">
        <f t="shared" si="0"/>
        <v>0</v>
      </c>
    </row>
    <row r="311" spans="2:14" x14ac:dyDescent="0.2">
      <c r="B311" s="133" t="str">
        <f t="shared" si="1"/>
        <v>יתרת פיגורים ריאלית לתחילת השנה</v>
      </c>
      <c r="C311" s="184">
        <f t="shared" si="0"/>
        <v>5495</v>
      </c>
      <c r="D311" s="134">
        <f t="shared" si="0"/>
        <v>0</v>
      </c>
      <c r="E311" s="184">
        <f t="shared" si="0"/>
        <v>4930</v>
      </c>
      <c r="F311" s="134">
        <f t="shared" si="0"/>
        <v>0</v>
      </c>
      <c r="G311" s="184">
        <f t="shared" si="0"/>
        <v>4930</v>
      </c>
      <c r="H311" s="134">
        <f t="shared" si="0"/>
        <v>0</v>
      </c>
      <c r="I311" s="184">
        <f t="shared" si="0"/>
        <v>417</v>
      </c>
      <c r="J311" s="134">
        <f t="shared" si="0"/>
        <v>0</v>
      </c>
      <c r="K311" s="184">
        <f t="shared" si="0"/>
        <v>417</v>
      </c>
      <c r="L311" s="134">
        <f t="shared" si="0"/>
        <v>0</v>
      </c>
      <c r="M311" s="184">
        <f t="shared" si="0"/>
        <v>417</v>
      </c>
      <c r="N311" s="135">
        <f t="shared" si="0"/>
        <v>0</v>
      </c>
    </row>
    <row r="312" spans="2:14" x14ac:dyDescent="0.2">
      <c r="B312" s="133" t="str">
        <f t="shared" si="1"/>
        <v>חיוב / זיכוי נוסף</v>
      </c>
      <c r="C312" s="185">
        <f t="shared" si="0"/>
        <v>-0.81999999999999984</v>
      </c>
      <c r="D312" s="134">
        <f t="shared" si="0"/>
        <v>0</v>
      </c>
      <c r="E312" s="185">
        <f t="shared" si="0"/>
        <v>-56</v>
      </c>
      <c r="F312" s="134">
        <f t="shared" si="0"/>
        <v>0</v>
      </c>
      <c r="G312" s="185">
        <f t="shared" si="0"/>
        <v>-297</v>
      </c>
      <c r="H312" s="134">
        <f t="shared" si="0"/>
        <v>0</v>
      </c>
      <c r="I312" s="185">
        <f t="shared" si="0"/>
        <v>0</v>
      </c>
      <c r="J312" s="134">
        <f t="shared" si="0"/>
        <v>0</v>
      </c>
      <c r="K312" s="185">
        <f t="shared" si="0"/>
        <v>0</v>
      </c>
      <c r="L312" s="134">
        <f t="shared" si="0"/>
        <v>0</v>
      </c>
      <c r="M312" s="185">
        <f t="shared" si="0"/>
        <v>-28</v>
      </c>
      <c r="N312" s="135">
        <f t="shared" si="0"/>
        <v>0</v>
      </c>
    </row>
    <row r="313" spans="2:14" x14ac:dyDescent="0.2">
      <c r="B313" s="133" t="str">
        <f t="shared" si="1"/>
        <v>העברה לחובות מסופקים (במינוס)</v>
      </c>
      <c r="C313" s="185">
        <f t="shared" si="0"/>
        <v>0</v>
      </c>
      <c r="D313" s="134">
        <f t="shared" si="0"/>
        <v>0</v>
      </c>
      <c r="E313" s="185">
        <f t="shared" si="0"/>
        <v>0</v>
      </c>
      <c r="F313" s="134">
        <f t="shared" si="0"/>
        <v>0</v>
      </c>
      <c r="G313" s="185">
        <f t="shared" si="0"/>
        <v>0</v>
      </c>
      <c r="H313" s="134">
        <f t="shared" si="0"/>
        <v>0</v>
      </c>
      <c r="I313" s="185">
        <f t="shared" si="0"/>
        <v>0</v>
      </c>
      <c r="J313" s="134">
        <f t="shared" si="0"/>
        <v>0</v>
      </c>
      <c r="K313" s="185">
        <f t="shared" si="0"/>
        <v>0</v>
      </c>
      <c r="L313" s="134">
        <f t="shared" si="0"/>
        <v>0</v>
      </c>
      <c r="M313" s="185">
        <f t="shared" si="0"/>
        <v>0</v>
      </c>
      <c r="N313" s="135">
        <f t="shared" si="0"/>
        <v>0</v>
      </c>
    </row>
    <row r="314" spans="2:14" x14ac:dyDescent="0.2">
      <c r="B314" s="133" t="str">
        <f t="shared" si="1"/>
        <v>חיובים במהלך התקופה כולל ריבית והצמדה</v>
      </c>
      <c r="C314" s="185">
        <f t="shared" si="0"/>
        <v>63.870000000000005</v>
      </c>
      <c r="D314" s="134">
        <f t="shared" si="0"/>
        <v>0</v>
      </c>
      <c r="E314" s="185">
        <f t="shared" si="0"/>
        <v>32</v>
      </c>
      <c r="F314" s="134">
        <f t="shared" si="0"/>
        <v>0</v>
      </c>
      <c r="G314" s="185">
        <f t="shared" si="0"/>
        <v>236</v>
      </c>
      <c r="H314" s="134">
        <f t="shared" si="0"/>
        <v>0</v>
      </c>
      <c r="I314" s="185">
        <f t="shared" si="0"/>
        <v>3.4899999999999993</v>
      </c>
      <c r="J314" s="134">
        <f t="shared" si="0"/>
        <v>0</v>
      </c>
      <c r="K314" s="185">
        <f t="shared" si="0"/>
        <v>4</v>
      </c>
      <c r="L314" s="134">
        <f t="shared" si="0"/>
        <v>0</v>
      </c>
      <c r="M314" s="185">
        <f t="shared" si="0"/>
        <v>20</v>
      </c>
      <c r="N314" s="135">
        <f t="shared" si="0"/>
        <v>0</v>
      </c>
    </row>
    <row r="315" spans="2:14" x14ac:dyDescent="0.2">
      <c r="B315" s="133" t="str">
        <f t="shared" si="1"/>
        <v>הנחות ופטורים (במינוס)</v>
      </c>
      <c r="C315" s="185">
        <f t="shared" si="0"/>
        <v>-3.4</v>
      </c>
      <c r="D315" s="134">
        <f t="shared" si="0"/>
        <v>0</v>
      </c>
      <c r="E315" s="185">
        <f t="shared" si="0"/>
        <v>0</v>
      </c>
      <c r="F315" s="134">
        <f t="shared" si="0"/>
        <v>0</v>
      </c>
      <c r="G315" s="185">
        <f t="shared" si="0"/>
        <v>-48</v>
      </c>
      <c r="H315" s="134">
        <f t="shared" si="0"/>
        <v>0</v>
      </c>
      <c r="I315" s="185">
        <f t="shared" si="0"/>
        <v>0</v>
      </c>
      <c r="J315" s="134">
        <f t="shared" si="0"/>
        <v>0</v>
      </c>
      <c r="K315" s="185">
        <f t="shared" si="0"/>
        <v>0</v>
      </c>
      <c r="L315" s="134">
        <f t="shared" si="0"/>
        <v>0</v>
      </c>
      <c r="M315" s="185">
        <f t="shared" si="0"/>
        <v>0</v>
      </c>
      <c r="N315" s="135">
        <f t="shared" si="0"/>
        <v>0</v>
      </c>
    </row>
    <row r="316" spans="2:14" x14ac:dyDescent="0.2">
      <c r="B316" s="133" t="str">
        <f t="shared" si="1"/>
        <v>מחיקת חובות בתקופת הדוח (במינוס)</v>
      </c>
      <c r="C316" s="185">
        <f t="shared" si="0"/>
        <v>0</v>
      </c>
      <c r="D316" s="134">
        <f t="shared" si="0"/>
        <v>0</v>
      </c>
      <c r="E316" s="185">
        <f t="shared" si="0"/>
        <v>0</v>
      </c>
      <c r="F316" s="134">
        <f t="shared" si="0"/>
        <v>0</v>
      </c>
      <c r="G316" s="185">
        <f t="shared" si="0"/>
        <v>0</v>
      </c>
      <c r="H316" s="134">
        <f t="shared" si="0"/>
        <v>0</v>
      </c>
      <c r="I316" s="185">
        <f t="shared" si="0"/>
        <v>0</v>
      </c>
      <c r="J316" s="134">
        <f t="shared" si="0"/>
        <v>0</v>
      </c>
      <c r="K316" s="185">
        <f t="shared" si="0"/>
        <v>0</v>
      </c>
      <c r="L316" s="134">
        <f t="shared" si="0"/>
        <v>0</v>
      </c>
      <c r="M316" s="185">
        <f t="shared" si="0"/>
        <v>0</v>
      </c>
      <c r="N316" s="135"/>
    </row>
    <row r="317" spans="2:14" x14ac:dyDescent="0.2">
      <c r="B317" s="133" t="str">
        <f t="shared" si="1"/>
        <v>סה"כ יתרת פיגורים לגבייה</v>
      </c>
      <c r="C317" s="144">
        <f t="shared" si="0"/>
        <v>5554.6500000000005</v>
      </c>
      <c r="D317" s="134">
        <f t="shared" si="0"/>
        <v>0</v>
      </c>
      <c r="E317" s="144">
        <f t="shared" si="0"/>
        <v>4906</v>
      </c>
      <c r="F317" s="134">
        <f t="shared" si="0"/>
        <v>0</v>
      </c>
      <c r="G317" s="144">
        <f t="shared" si="0"/>
        <v>4821</v>
      </c>
      <c r="H317" s="134">
        <f t="shared" si="0"/>
        <v>0</v>
      </c>
      <c r="I317" s="144">
        <f t="shared" si="0"/>
        <v>420.49</v>
      </c>
      <c r="J317" s="134">
        <f t="shared" si="0"/>
        <v>0</v>
      </c>
      <c r="K317" s="144">
        <f t="shared" si="0"/>
        <v>421</v>
      </c>
      <c r="L317" s="134">
        <f t="shared" si="0"/>
        <v>0</v>
      </c>
      <c r="M317" s="144">
        <f t="shared" si="0"/>
        <v>409</v>
      </c>
      <c r="N317" s="135">
        <f t="shared" si="0"/>
        <v>0</v>
      </c>
    </row>
    <row r="318" spans="2:14" x14ac:dyDescent="0.2">
      <c r="B318" s="133" t="str">
        <f t="shared" si="1"/>
        <v>גבייה בגין פיגורים</v>
      </c>
      <c r="C318" s="184">
        <f t="shared" si="0"/>
        <v>410</v>
      </c>
      <c r="D318" s="134">
        <f t="shared" si="0"/>
        <v>0</v>
      </c>
      <c r="E318" s="184">
        <f t="shared" si="0"/>
        <v>267</v>
      </c>
      <c r="F318" s="134">
        <f t="shared" si="0"/>
        <v>0</v>
      </c>
      <c r="G318" s="184">
        <f t="shared" si="0"/>
        <v>608</v>
      </c>
      <c r="H318" s="134">
        <f t="shared" si="0"/>
        <v>0</v>
      </c>
      <c r="I318" s="184">
        <f t="shared" si="0"/>
        <v>38.5</v>
      </c>
      <c r="J318" s="134">
        <f t="shared" si="0"/>
        <v>0</v>
      </c>
      <c r="K318" s="184">
        <f t="shared" si="0"/>
        <v>19</v>
      </c>
      <c r="L318" s="134">
        <f t="shared" si="0"/>
        <v>0</v>
      </c>
      <c r="M318" s="184">
        <f t="shared" si="0"/>
        <v>56</v>
      </c>
      <c r="N318" s="135">
        <f t="shared" si="0"/>
        <v>0</v>
      </c>
    </row>
    <row r="319" spans="2:14" x14ac:dyDescent="0.2">
      <c r="B319" s="133" t="str">
        <f t="shared" si="1"/>
        <v>יתרת פיגורים בגין שנים קודמות</v>
      </c>
      <c r="C319" s="144">
        <f t="shared" si="0"/>
        <v>5144.6500000000005</v>
      </c>
      <c r="D319" s="134">
        <f t="shared" si="0"/>
        <v>0</v>
      </c>
      <c r="E319" s="144">
        <f t="shared" si="0"/>
        <v>4639</v>
      </c>
      <c r="F319" s="134">
        <f t="shared" si="0"/>
        <v>0</v>
      </c>
      <c r="G319" s="144">
        <f t="shared" si="0"/>
        <v>4213</v>
      </c>
      <c r="H319" s="134">
        <f t="shared" si="0"/>
        <v>0</v>
      </c>
      <c r="I319" s="144">
        <f t="shared" si="0"/>
        <v>381.99</v>
      </c>
      <c r="J319" s="134">
        <f t="shared" si="0"/>
        <v>0</v>
      </c>
      <c r="K319" s="144">
        <f t="shared" si="0"/>
        <v>402</v>
      </c>
      <c r="L319" s="134">
        <f t="shared" si="0"/>
        <v>0</v>
      </c>
      <c r="M319" s="144">
        <f t="shared" si="0"/>
        <v>353</v>
      </c>
      <c r="N319" s="135">
        <f t="shared" si="0"/>
        <v>0</v>
      </c>
    </row>
    <row r="320" spans="2:14" ht="15.75" x14ac:dyDescent="0.2">
      <c r="B320" s="136" t="str">
        <f t="shared" si="1"/>
        <v>גבייה שוטפת</v>
      </c>
      <c r="C320" s="134">
        <f t="shared" si="0"/>
        <v>0</v>
      </c>
      <c r="D320" s="134">
        <f t="shared" si="0"/>
        <v>0</v>
      </c>
      <c r="E320" s="134">
        <f t="shared" si="0"/>
        <v>0</v>
      </c>
      <c r="F320" s="134">
        <f t="shared" si="0"/>
        <v>0</v>
      </c>
      <c r="G320" s="134">
        <f t="shared" si="0"/>
        <v>0</v>
      </c>
      <c r="H320" s="134">
        <f t="shared" si="0"/>
        <v>0</v>
      </c>
      <c r="I320" s="134">
        <f t="shared" si="0"/>
        <v>0</v>
      </c>
      <c r="J320" s="134">
        <f t="shared" si="0"/>
        <v>0</v>
      </c>
      <c r="K320" s="134">
        <f t="shared" si="0"/>
        <v>0</v>
      </c>
      <c r="L320" s="134">
        <f t="shared" si="0"/>
        <v>0</v>
      </c>
      <c r="M320" s="134">
        <f t="shared" si="0"/>
        <v>0</v>
      </c>
      <c r="N320" s="135">
        <f t="shared" si="0"/>
        <v>0</v>
      </c>
    </row>
    <row r="321" spans="2:14" x14ac:dyDescent="0.2">
      <c r="B321" s="133" t="str">
        <f t="shared" si="1"/>
        <v>חיוב תקופתי שוטף מצטבר</v>
      </c>
      <c r="C321" s="184">
        <f t="shared" si="0"/>
        <v>13479.25</v>
      </c>
      <c r="D321" s="134">
        <f t="shared" si="0"/>
        <v>0</v>
      </c>
      <c r="E321" s="184">
        <f t="shared" si="0"/>
        <v>21003</v>
      </c>
      <c r="F321" s="134">
        <f t="shared" si="0"/>
        <v>0</v>
      </c>
      <c r="G321" s="184">
        <f t="shared" si="0"/>
        <v>53133</v>
      </c>
      <c r="H321" s="134">
        <f t="shared" si="0"/>
        <v>0</v>
      </c>
      <c r="I321" s="184">
        <f t="shared" si="0"/>
        <v>310</v>
      </c>
      <c r="J321" s="134">
        <f t="shared" si="0"/>
        <v>0</v>
      </c>
      <c r="K321" s="184">
        <f t="shared" si="0"/>
        <v>274</v>
      </c>
      <c r="L321" s="134">
        <f t="shared" si="0"/>
        <v>0</v>
      </c>
      <c r="M321" s="184">
        <f t="shared" si="0"/>
        <v>1057</v>
      </c>
      <c r="N321" s="135">
        <f t="shared" si="0"/>
        <v>0</v>
      </c>
    </row>
    <row r="322" spans="2:14" x14ac:dyDescent="0.2">
      <c r="B322" s="133" t="str">
        <f t="shared" si="1"/>
        <v>חיוב/זיכוי נוסף כולל ריבית והצמדה</v>
      </c>
      <c r="C322" s="185">
        <f t="shared" si="0"/>
        <v>7598.45</v>
      </c>
      <c r="D322" s="134">
        <f t="shared" si="0"/>
        <v>0</v>
      </c>
      <c r="E322" s="185">
        <f t="shared" si="0"/>
        <v>-33</v>
      </c>
      <c r="F322" s="134">
        <f t="shared" si="0"/>
        <v>0</v>
      </c>
      <c r="G322" s="185">
        <f t="shared" si="0"/>
        <v>-35</v>
      </c>
      <c r="H322" s="134">
        <f t="shared" si="0"/>
        <v>0</v>
      </c>
      <c r="I322" s="185">
        <f t="shared" si="0"/>
        <v>0.28999999999999998</v>
      </c>
      <c r="J322" s="134">
        <f t="shared" si="0"/>
        <v>0</v>
      </c>
      <c r="K322" s="185">
        <f t="shared" si="0"/>
        <v>0</v>
      </c>
      <c r="L322" s="134">
        <f t="shared" si="0"/>
        <v>0</v>
      </c>
      <c r="M322" s="185">
        <f t="shared" si="0"/>
        <v>8</v>
      </c>
      <c r="N322" s="135">
        <f t="shared" si="0"/>
        <v>0</v>
      </c>
    </row>
    <row r="323" spans="2:14" x14ac:dyDescent="0.2">
      <c r="B323" s="133" t="str">
        <f t="shared" si="1"/>
        <v>הנחות ופטורים (במינוס)</v>
      </c>
      <c r="C323" s="185">
        <f t="shared" si="0"/>
        <v>-1192</v>
      </c>
      <c r="D323" s="134">
        <f t="shared" si="0"/>
        <v>0</v>
      </c>
      <c r="E323" s="185">
        <f t="shared" si="0"/>
        <v>-982</v>
      </c>
      <c r="F323" s="134">
        <f t="shared" si="0"/>
        <v>0</v>
      </c>
      <c r="G323" s="185">
        <f t="shared" si="0"/>
        <v>-4587</v>
      </c>
      <c r="H323" s="134">
        <f t="shared" si="0"/>
        <v>0</v>
      </c>
      <c r="I323" s="185">
        <f t="shared" si="0"/>
        <v>0</v>
      </c>
      <c r="J323" s="134">
        <f t="shared" si="0"/>
        <v>0</v>
      </c>
      <c r="K323" s="185">
        <f t="shared" si="0"/>
        <v>0</v>
      </c>
      <c r="L323" s="134">
        <f t="shared" si="0"/>
        <v>0</v>
      </c>
      <c r="M323" s="185">
        <f t="shared" si="0"/>
        <v>0</v>
      </c>
      <c r="N323" s="135">
        <f t="shared" si="0"/>
        <v>0</v>
      </c>
    </row>
    <row r="324" spans="2:14" x14ac:dyDescent="0.2">
      <c r="B324" s="133" t="str">
        <f t="shared" si="1"/>
        <v>מחיקת חובות (במינוס)</v>
      </c>
      <c r="C324" s="185">
        <f t="shared" si="0"/>
        <v>0</v>
      </c>
      <c r="D324" s="134">
        <f t="shared" si="0"/>
        <v>0</v>
      </c>
      <c r="E324" s="185">
        <f t="shared" si="0"/>
        <v>0</v>
      </c>
      <c r="F324" s="134">
        <f t="shared" si="0"/>
        <v>0</v>
      </c>
      <c r="G324" s="185">
        <f t="shared" si="0"/>
        <v>-145</v>
      </c>
      <c r="H324" s="134">
        <f t="shared" si="0"/>
        <v>0</v>
      </c>
      <c r="I324" s="185">
        <f t="shared" si="0"/>
        <v>0</v>
      </c>
      <c r="J324" s="134">
        <f t="shared" si="0"/>
        <v>0</v>
      </c>
      <c r="K324" s="185">
        <f t="shared" si="0"/>
        <v>0</v>
      </c>
      <c r="L324" s="134">
        <f t="shared" si="0"/>
        <v>0</v>
      </c>
      <c r="M324" s="185">
        <f t="shared" si="0"/>
        <v>0</v>
      </c>
      <c r="N324" s="135"/>
    </row>
    <row r="325" spans="2:14" x14ac:dyDescent="0.2">
      <c r="B325" s="133" t="str">
        <f t="shared" si="1"/>
        <v>סה"כ חיוב תקופתי לגבייה</v>
      </c>
      <c r="C325" s="144">
        <f t="shared" ref="C325:N325" si="2">C23</f>
        <v>19885.7</v>
      </c>
      <c r="D325" s="134">
        <f t="shared" si="2"/>
        <v>0</v>
      </c>
      <c r="E325" s="144">
        <f t="shared" si="2"/>
        <v>19988</v>
      </c>
      <c r="F325" s="134">
        <f t="shared" si="2"/>
        <v>0</v>
      </c>
      <c r="G325" s="144">
        <f t="shared" si="2"/>
        <v>48366</v>
      </c>
      <c r="H325" s="134">
        <f t="shared" si="2"/>
        <v>0</v>
      </c>
      <c r="I325" s="144">
        <f t="shared" si="2"/>
        <v>310.29000000000002</v>
      </c>
      <c r="J325" s="134">
        <f t="shared" si="2"/>
        <v>0</v>
      </c>
      <c r="K325" s="144">
        <f t="shared" si="2"/>
        <v>274</v>
      </c>
      <c r="L325" s="134">
        <f t="shared" si="2"/>
        <v>0</v>
      </c>
      <c r="M325" s="144">
        <f t="shared" si="2"/>
        <v>1065</v>
      </c>
      <c r="N325" s="135">
        <f t="shared" si="2"/>
        <v>0</v>
      </c>
    </row>
    <row r="326" spans="2:14" x14ac:dyDescent="0.2">
      <c r="B326" s="133" t="str">
        <f t="shared" ref="B326:N326" si="3">B24</f>
        <v>גבייה מראש</v>
      </c>
      <c r="C326" s="184">
        <f t="shared" si="3"/>
        <v>3624</v>
      </c>
      <c r="D326" s="134">
        <f t="shared" si="3"/>
        <v>0</v>
      </c>
      <c r="E326" s="184">
        <f t="shared" si="3"/>
        <v>4322</v>
      </c>
      <c r="F326" s="134">
        <f t="shared" si="3"/>
        <v>0</v>
      </c>
      <c r="G326" s="184">
        <f t="shared" si="3"/>
        <v>0</v>
      </c>
      <c r="H326" s="134">
        <f t="shared" si="3"/>
        <v>0</v>
      </c>
      <c r="I326" s="184">
        <f t="shared" si="3"/>
        <v>0</v>
      </c>
      <c r="J326" s="134">
        <f t="shared" si="3"/>
        <v>0</v>
      </c>
      <c r="K326" s="184">
        <f t="shared" si="3"/>
        <v>0</v>
      </c>
      <c r="L326" s="134">
        <f t="shared" si="3"/>
        <v>0</v>
      </c>
      <c r="M326" s="184">
        <f t="shared" si="3"/>
        <v>0</v>
      </c>
      <c r="N326" s="135">
        <f t="shared" si="3"/>
        <v>0</v>
      </c>
    </row>
    <row r="327" spans="2:14" x14ac:dyDescent="0.2">
      <c r="B327" s="133" t="str">
        <f t="shared" ref="B327:N327" si="4">B25</f>
        <v>גבייה שוטפת</v>
      </c>
      <c r="C327" s="185">
        <f t="shared" si="4"/>
        <v>12220</v>
      </c>
      <c r="D327" s="134">
        <f t="shared" si="4"/>
        <v>0</v>
      </c>
      <c r="E327" s="185">
        <f t="shared" si="4"/>
        <v>11997</v>
      </c>
      <c r="F327" s="134">
        <f t="shared" si="4"/>
        <v>0</v>
      </c>
      <c r="G327" s="185">
        <f t="shared" si="4"/>
        <v>47084</v>
      </c>
      <c r="H327" s="134">
        <f t="shared" si="4"/>
        <v>0</v>
      </c>
      <c r="I327" s="185">
        <f t="shared" si="4"/>
        <v>189</v>
      </c>
      <c r="J327" s="134">
        <f t="shared" si="4"/>
        <v>0</v>
      </c>
      <c r="K327" s="185">
        <f t="shared" si="4"/>
        <v>187</v>
      </c>
      <c r="L327" s="134">
        <f t="shared" si="4"/>
        <v>0</v>
      </c>
      <c r="M327" s="185">
        <f t="shared" si="4"/>
        <v>934</v>
      </c>
      <c r="N327" s="135">
        <f t="shared" si="4"/>
        <v>0</v>
      </c>
    </row>
    <row r="328" spans="2:14" x14ac:dyDescent="0.2">
      <c r="B328" s="133" t="str">
        <f t="shared" ref="B328:N328" si="5">B26</f>
        <v>סה"כ גבייה שוטפת</v>
      </c>
      <c r="C328" s="144">
        <f t="shared" si="5"/>
        <v>15844</v>
      </c>
      <c r="D328" s="134">
        <f t="shared" si="5"/>
        <v>0</v>
      </c>
      <c r="E328" s="144">
        <f t="shared" si="5"/>
        <v>16319</v>
      </c>
      <c r="F328" s="134">
        <f t="shared" si="5"/>
        <v>0</v>
      </c>
      <c r="G328" s="144">
        <f t="shared" si="5"/>
        <v>47084</v>
      </c>
      <c r="H328" s="134">
        <f t="shared" si="5"/>
        <v>0</v>
      </c>
      <c r="I328" s="144">
        <f t="shared" si="5"/>
        <v>189</v>
      </c>
      <c r="J328" s="134">
        <f t="shared" si="5"/>
        <v>0</v>
      </c>
      <c r="K328" s="144">
        <f t="shared" si="5"/>
        <v>187</v>
      </c>
      <c r="L328" s="134">
        <f t="shared" si="5"/>
        <v>0</v>
      </c>
      <c r="M328" s="144">
        <f t="shared" si="5"/>
        <v>934</v>
      </c>
      <c r="N328" s="135">
        <f t="shared" si="5"/>
        <v>0</v>
      </c>
    </row>
    <row r="329" spans="2:14" x14ac:dyDescent="0.2">
      <c r="B329" s="133">
        <f t="shared" ref="B329:N329" si="6">B27</f>
        <v>0</v>
      </c>
      <c r="C329" s="134">
        <f t="shared" si="6"/>
        <v>0</v>
      </c>
      <c r="D329" s="134">
        <f t="shared" si="6"/>
        <v>0</v>
      </c>
      <c r="E329" s="134">
        <f t="shared" si="6"/>
        <v>0</v>
      </c>
      <c r="F329" s="134">
        <f t="shared" si="6"/>
        <v>0</v>
      </c>
      <c r="G329" s="134">
        <f t="shared" si="6"/>
        <v>0</v>
      </c>
      <c r="H329" s="134">
        <f t="shared" si="6"/>
        <v>0</v>
      </c>
      <c r="I329" s="134">
        <f t="shared" si="6"/>
        <v>0</v>
      </c>
      <c r="J329" s="134">
        <f t="shared" si="6"/>
        <v>0</v>
      </c>
      <c r="K329" s="134">
        <f t="shared" si="6"/>
        <v>0</v>
      </c>
      <c r="L329" s="134">
        <f t="shared" si="6"/>
        <v>0</v>
      </c>
      <c r="M329" s="134">
        <f t="shared" si="6"/>
        <v>0</v>
      </c>
      <c r="N329" s="135">
        <f t="shared" si="6"/>
        <v>0</v>
      </c>
    </row>
    <row r="330" spans="2:14" x14ac:dyDescent="0.2">
      <c r="B330" s="133" t="str">
        <f t="shared" ref="B330:N330" si="7">B28</f>
        <v>יתרת פיגורים לתקופה</v>
      </c>
      <c r="C330" s="144">
        <f t="shared" si="7"/>
        <v>4041.7000000000007</v>
      </c>
      <c r="D330" s="134">
        <f t="shared" si="7"/>
        <v>0</v>
      </c>
      <c r="E330" s="144">
        <f t="shared" si="7"/>
        <v>3669</v>
      </c>
      <c r="F330" s="134">
        <f t="shared" si="7"/>
        <v>0</v>
      </c>
      <c r="G330" s="144">
        <f t="shared" si="7"/>
        <v>1282</v>
      </c>
      <c r="H330" s="134">
        <f t="shared" si="7"/>
        <v>0</v>
      </c>
      <c r="I330" s="144">
        <f t="shared" si="7"/>
        <v>121.29000000000002</v>
      </c>
      <c r="J330" s="134">
        <f t="shared" si="7"/>
        <v>0</v>
      </c>
      <c r="K330" s="144">
        <f t="shared" si="7"/>
        <v>87</v>
      </c>
      <c r="L330" s="134">
        <f t="shared" si="7"/>
        <v>0</v>
      </c>
      <c r="M330" s="144">
        <f t="shared" si="7"/>
        <v>131</v>
      </c>
      <c r="N330" s="135">
        <f t="shared" si="7"/>
        <v>0</v>
      </c>
    </row>
    <row r="331" spans="2:14" x14ac:dyDescent="0.2">
      <c r="B331" s="133">
        <f t="shared" ref="B331:N331" si="8">B29</f>
        <v>0</v>
      </c>
      <c r="C331" s="134">
        <f t="shared" si="8"/>
        <v>0</v>
      </c>
      <c r="D331" s="134">
        <f t="shared" si="8"/>
        <v>0</v>
      </c>
      <c r="E331" s="134">
        <f t="shared" si="8"/>
        <v>0</v>
      </c>
      <c r="F331" s="134">
        <f t="shared" si="8"/>
        <v>0</v>
      </c>
      <c r="G331" s="134">
        <f t="shared" si="8"/>
        <v>0</v>
      </c>
      <c r="H331" s="134">
        <f t="shared" si="8"/>
        <v>0</v>
      </c>
      <c r="I331" s="134">
        <f t="shared" si="8"/>
        <v>0</v>
      </c>
      <c r="J331" s="134">
        <f t="shared" si="8"/>
        <v>0</v>
      </c>
      <c r="K331" s="134">
        <f t="shared" si="8"/>
        <v>0</v>
      </c>
      <c r="L331" s="134">
        <f t="shared" si="8"/>
        <v>0</v>
      </c>
      <c r="M331" s="134">
        <f t="shared" si="8"/>
        <v>0</v>
      </c>
      <c r="N331" s="135">
        <f t="shared" si="8"/>
        <v>0</v>
      </c>
    </row>
    <row r="332" spans="2:14" ht="13.5" thickBot="1" x14ac:dyDescent="0.25">
      <c r="B332" s="133" t="str">
        <f t="shared" ref="B332:N332" si="9">B30</f>
        <v>יתרת פיגורים כוללת לסוף התקופה</v>
      </c>
      <c r="C332" s="146">
        <f t="shared" si="9"/>
        <v>9186.3500000000022</v>
      </c>
      <c r="D332" s="134">
        <f t="shared" si="9"/>
        <v>0</v>
      </c>
      <c r="E332" s="146">
        <f t="shared" si="9"/>
        <v>8308</v>
      </c>
      <c r="F332" s="134">
        <f t="shared" si="9"/>
        <v>0</v>
      </c>
      <c r="G332" s="146">
        <f t="shared" si="9"/>
        <v>5495</v>
      </c>
      <c r="H332" s="134">
        <f t="shared" si="9"/>
        <v>0</v>
      </c>
      <c r="I332" s="146">
        <f t="shared" si="9"/>
        <v>503.28000000000003</v>
      </c>
      <c r="J332" s="134">
        <f t="shared" si="9"/>
        <v>0</v>
      </c>
      <c r="K332" s="146">
        <f t="shared" si="9"/>
        <v>489</v>
      </c>
      <c r="L332" s="134">
        <f t="shared" si="9"/>
        <v>0</v>
      </c>
      <c r="M332" s="146">
        <f t="shared" si="9"/>
        <v>484</v>
      </c>
      <c r="N332" s="135">
        <f t="shared" si="9"/>
        <v>0</v>
      </c>
    </row>
    <row r="333" spans="2:14" ht="13.5" thickTop="1" x14ac:dyDescent="0.2">
      <c r="B333" s="133" t="str">
        <f t="shared" ref="B333:N333" si="10">B31</f>
        <v>% גבייה מהפיגורים (בניכוי הנחות)</v>
      </c>
      <c r="C333" s="139">
        <f t="shared" si="10"/>
        <v>7.3812031361111849E-2</v>
      </c>
      <c r="D333" s="134">
        <f t="shared" si="10"/>
        <v>0</v>
      </c>
      <c r="E333" s="139">
        <f t="shared" si="10"/>
        <v>5.4423155320016306E-2</v>
      </c>
      <c r="F333" s="134">
        <f t="shared" si="10"/>
        <v>0</v>
      </c>
      <c r="G333" s="139">
        <f t="shared" si="10"/>
        <v>0.12611491391827423</v>
      </c>
      <c r="H333" s="134">
        <f t="shared" si="10"/>
        <v>0</v>
      </c>
      <c r="I333" s="139">
        <f t="shared" si="10"/>
        <v>9.1559846845347098E-2</v>
      </c>
      <c r="J333" s="134">
        <f t="shared" si="10"/>
        <v>0</v>
      </c>
      <c r="K333" s="139">
        <f t="shared" si="10"/>
        <v>4.5130641330166268E-2</v>
      </c>
      <c r="L333" s="134">
        <f t="shared" si="10"/>
        <v>0</v>
      </c>
      <c r="M333" s="139">
        <f t="shared" si="10"/>
        <v>0.13691931540342298</v>
      </c>
      <c r="N333" s="135">
        <f t="shared" si="10"/>
        <v>0</v>
      </c>
    </row>
    <row r="334" spans="2:14" ht="25.5" x14ac:dyDescent="0.2">
      <c r="B334" s="145" t="str">
        <f t="shared" ref="B334:N334" si="11">B32</f>
        <v>% סה"כ גבייה שוטפת מסה"כ חיוב תקופתי לגבייה (בניכוי הנחות)</v>
      </c>
      <c r="C334" s="142">
        <f t="shared" si="11"/>
        <v>0.79675344594356745</v>
      </c>
      <c r="D334" s="134">
        <f t="shared" si="11"/>
        <v>0</v>
      </c>
      <c r="E334" s="142">
        <f t="shared" si="11"/>
        <v>0.81643986391835099</v>
      </c>
      <c r="F334" s="134">
        <f t="shared" si="11"/>
        <v>0</v>
      </c>
      <c r="G334" s="142">
        <f t="shared" si="11"/>
        <v>0.97349377661993963</v>
      </c>
      <c r="H334" s="134">
        <f t="shared" si="11"/>
        <v>0</v>
      </c>
      <c r="I334" s="142">
        <f t="shared" si="11"/>
        <v>0.6091076090109252</v>
      </c>
      <c r="J334" s="134">
        <f t="shared" si="11"/>
        <v>0</v>
      </c>
      <c r="K334" s="142">
        <f t="shared" si="11"/>
        <v>0.68248175182481752</v>
      </c>
      <c r="L334" s="134">
        <f t="shared" si="11"/>
        <v>0</v>
      </c>
      <c r="M334" s="142">
        <f t="shared" si="11"/>
        <v>0.87699530516431923</v>
      </c>
      <c r="N334" s="135">
        <f t="shared" si="11"/>
        <v>0</v>
      </c>
    </row>
    <row r="335" spans="2:14" x14ac:dyDescent="0.2">
      <c r="B335" s="145" t="str">
        <f t="shared" ref="B335:M335" si="12">B33</f>
        <v>% גבייה שוטפת מסה"כ חיוב תקופתי - כולל הנחות</v>
      </c>
      <c r="C335" s="142">
        <f t="shared" si="12"/>
        <v>0.57975965119533912</v>
      </c>
      <c r="D335" s="134">
        <f t="shared" si="12"/>
        <v>0</v>
      </c>
      <c r="E335" s="142">
        <f t="shared" si="12"/>
        <v>0.57210300429184546</v>
      </c>
      <c r="F335" s="134">
        <f t="shared" si="12"/>
        <v>0</v>
      </c>
      <c r="G335" s="142">
        <f t="shared" si="12"/>
        <v>0.8867377302346604</v>
      </c>
      <c r="H335" s="134">
        <f t="shared" si="12"/>
        <v>0</v>
      </c>
      <c r="I335" s="142">
        <f t="shared" si="12"/>
        <v>0.6091076090109252</v>
      </c>
      <c r="J335" s="134">
        <f t="shared" si="12"/>
        <v>0</v>
      </c>
      <c r="K335" s="142">
        <f t="shared" si="12"/>
        <v>0.68248175182481752</v>
      </c>
      <c r="L335" s="134">
        <f t="shared" si="12"/>
        <v>0</v>
      </c>
      <c r="M335" s="142">
        <f t="shared" si="12"/>
        <v>0.87699530516431923</v>
      </c>
      <c r="N335" s="135"/>
    </row>
    <row r="336" spans="2:14" x14ac:dyDescent="0.2">
      <c r="B336" s="133" t="str">
        <f t="shared" ref="B336:M336" si="13">B34</f>
        <v>% סה"כ גבייה שוטפת מסה"כ חיוב תקופתי - כולל הנחות</v>
      </c>
      <c r="C336" s="142">
        <f t="shared" si="13"/>
        <v>0.75169491927487342</v>
      </c>
      <c r="D336" s="134">
        <f t="shared" si="13"/>
        <v>0</v>
      </c>
      <c r="E336" s="142">
        <f t="shared" si="13"/>
        <v>0.77820696232713404</v>
      </c>
      <c r="F336" s="134">
        <f t="shared" si="13"/>
        <v>0</v>
      </c>
      <c r="G336" s="142">
        <f t="shared" si="13"/>
        <v>0.8867377302346604</v>
      </c>
      <c r="H336" s="134">
        <f t="shared" si="13"/>
        <v>0</v>
      </c>
      <c r="I336" s="142">
        <f t="shared" si="13"/>
        <v>0.6091076090109252</v>
      </c>
      <c r="J336" s="134">
        <f t="shared" si="13"/>
        <v>0</v>
      </c>
      <c r="K336" s="142">
        <f t="shared" si="13"/>
        <v>0.68248175182481752</v>
      </c>
      <c r="L336" s="134">
        <f t="shared" si="13"/>
        <v>0</v>
      </c>
      <c r="M336" s="142">
        <f t="shared" si="13"/>
        <v>0.87699530516431923</v>
      </c>
      <c r="N336" s="135"/>
    </row>
    <row r="337" spans="2:14" x14ac:dyDescent="0.2">
      <c r="B337" s="133" t="str">
        <f t="shared" ref="B337:N343" si="14">B35</f>
        <v>% גבייה כוללת מסה"כ חיוב לגביה</v>
      </c>
      <c r="C337" s="142">
        <f t="shared" si="14"/>
        <v>0.63890630435508944</v>
      </c>
      <c r="D337" s="134">
        <f t="shared" si="14"/>
        <v>0</v>
      </c>
      <c r="E337" s="142">
        <f t="shared" si="14"/>
        <v>0.66626496344500685</v>
      </c>
      <c r="F337" s="134">
        <f t="shared" si="14"/>
        <v>0</v>
      </c>
      <c r="G337" s="142">
        <f t="shared" si="14"/>
        <v>0.89668528023765204</v>
      </c>
      <c r="H337" s="134">
        <f t="shared" si="14"/>
        <v>0</v>
      </c>
      <c r="I337" s="142">
        <f t="shared" si="14"/>
        <v>0.31131120172965876</v>
      </c>
      <c r="J337" s="134">
        <f t="shared" si="14"/>
        <v>0</v>
      </c>
      <c r="K337" s="142">
        <f t="shared" si="14"/>
        <v>0.29640287769784174</v>
      </c>
      <c r="L337" s="134">
        <f t="shared" si="14"/>
        <v>0</v>
      </c>
      <c r="M337" s="142">
        <f t="shared" si="14"/>
        <v>0.67164179104477617</v>
      </c>
      <c r="N337" s="135">
        <f t="shared" si="14"/>
        <v>0</v>
      </c>
    </row>
    <row r="338" spans="2:14" x14ac:dyDescent="0.2">
      <c r="B338" s="133" t="str">
        <f t="shared" si="14"/>
        <v>כמות מים שנתית מאושרת באלפי מ"ק</v>
      </c>
      <c r="C338" s="134">
        <f t="shared" si="14"/>
        <v>0</v>
      </c>
      <c r="D338" s="134">
        <f t="shared" si="14"/>
        <v>0</v>
      </c>
      <c r="E338" s="134">
        <f t="shared" si="14"/>
        <v>0</v>
      </c>
      <c r="F338" s="134">
        <f t="shared" si="14"/>
        <v>0</v>
      </c>
      <c r="G338" s="134">
        <f t="shared" si="14"/>
        <v>0</v>
      </c>
      <c r="H338" s="134">
        <f t="shared" si="14"/>
        <v>0</v>
      </c>
      <c r="I338" s="185">
        <f t="shared" si="14"/>
        <v>0</v>
      </c>
      <c r="J338" s="134">
        <f t="shared" si="14"/>
        <v>0</v>
      </c>
      <c r="K338" s="185">
        <f t="shared" si="14"/>
        <v>0</v>
      </c>
      <c r="L338" s="134">
        <f t="shared" si="14"/>
        <v>0</v>
      </c>
      <c r="M338" s="185">
        <f t="shared" si="14"/>
        <v>0</v>
      </c>
      <c r="N338" s="135">
        <f t="shared" si="14"/>
        <v>0</v>
      </c>
    </row>
    <row r="339" spans="2:14" x14ac:dyDescent="0.2">
      <c r="B339" s="133" t="str">
        <f t="shared" si="14"/>
        <v>כמות מים שנרכשה / הופקה באלפי מ"ק</v>
      </c>
      <c r="C339" s="134">
        <f t="shared" si="14"/>
        <v>0</v>
      </c>
      <c r="D339" s="134">
        <f t="shared" si="14"/>
        <v>0</v>
      </c>
      <c r="E339" s="134">
        <f t="shared" si="14"/>
        <v>0</v>
      </c>
      <c r="F339" s="134">
        <f t="shared" si="14"/>
        <v>0</v>
      </c>
      <c r="G339" s="134">
        <f t="shared" si="14"/>
        <v>0</v>
      </c>
      <c r="H339" s="134">
        <f t="shared" si="14"/>
        <v>0</v>
      </c>
      <c r="I339" s="185">
        <f t="shared" si="14"/>
        <v>44.68</v>
      </c>
      <c r="J339" s="134">
        <f t="shared" si="14"/>
        <v>0</v>
      </c>
      <c r="K339" s="185">
        <f t="shared" si="14"/>
        <v>0</v>
      </c>
      <c r="L339" s="134">
        <f t="shared" si="14"/>
        <v>0</v>
      </c>
      <c r="M339" s="185">
        <f t="shared" si="14"/>
        <v>232</v>
      </c>
      <c r="N339" s="135">
        <f t="shared" si="14"/>
        <v>0</v>
      </c>
    </row>
    <row r="340" spans="2:14" x14ac:dyDescent="0.2">
      <c r="B340" s="133" t="str">
        <f t="shared" si="14"/>
        <v>כמות מים שנמכרה / חוייבה באלפי מ"ק</v>
      </c>
      <c r="C340" s="134">
        <f t="shared" si="14"/>
        <v>0</v>
      </c>
      <c r="D340" s="134">
        <f t="shared" si="14"/>
        <v>0</v>
      </c>
      <c r="E340" s="134">
        <f t="shared" si="14"/>
        <v>0</v>
      </c>
      <c r="F340" s="134">
        <f t="shared" si="14"/>
        <v>0</v>
      </c>
      <c r="G340" s="134">
        <f t="shared" si="14"/>
        <v>0</v>
      </c>
      <c r="H340" s="134">
        <f t="shared" si="14"/>
        <v>0</v>
      </c>
      <c r="I340" s="185">
        <f t="shared" si="14"/>
        <v>41.83</v>
      </c>
      <c r="J340" s="134">
        <f t="shared" si="14"/>
        <v>0</v>
      </c>
      <c r="K340" s="185">
        <f t="shared" si="14"/>
        <v>0</v>
      </c>
      <c r="L340" s="134">
        <f t="shared" si="14"/>
        <v>0</v>
      </c>
      <c r="M340" s="185">
        <f t="shared" si="14"/>
        <v>151</v>
      </c>
      <c r="N340" s="135">
        <f t="shared" si="14"/>
        <v>0</v>
      </c>
    </row>
    <row r="341" spans="2:14" x14ac:dyDescent="0.2">
      <c r="B341" s="133" t="str">
        <f t="shared" si="14"/>
        <v>פחת באלפי מ"ק</v>
      </c>
      <c r="C341" s="134">
        <f t="shared" si="14"/>
        <v>0</v>
      </c>
      <c r="D341" s="134">
        <f t="shared" si="14"/>
        <v>0</v>
      </c>
      <c r="E341" s="134">
        <f t="shared" si="14"/>
        <v>0</v>
      </c>
      <c r="F341" s="134">
        <f t="shared" si="14"/>
        <v>0</v>
      </c>
      <c r="G341" s="134">
        <f t="shared" si="14"/>
        <v>0</v>
      </c>
      <c r="H341" s="134">
        <f t="shared" si="14"/>
        <v>0</v>
      </c>
      <c r="I341" s="141">
        <f t="shared" si="14"/>
        <v>2.8500000000000014</v>
      </c>
      <c r="J341" s="134">
        <f t="shared" si="14"/>
        <v>0</v>
      </c>
      <c r="K341" s="141">
        <f t="shared" si="14"/>
        <v>0</v>
      </c>
      <c r="L341" s="134">
        <f t="shared" si="14"/>
        <v>0</v>
      </c>
      <c r="M341" s="141">
        <f t="shared" si="14"/>
        <v>81</v>
      </c>
      <c r="N341" s="135">
        <f t="shared" si="14"/>
        <v>0</v>
      </c>
    </row>
    <row r="342" spans="2:14" x14ac:dyDescent="0.2">
      <c r="B342" s="133" t="str">
        <f t="shared" si="14"/>
        <v>אחוז (%) הפחת</v>
      </c>
      <c r="C342" s="134">
        <f t="shared" si="14"/>
        <v>0</v>
      </c>
      <c r="D342" s="134">
        <f t="shared" si="14"/>
        <v>0</v>
      </c>
      <c r="E342" s="134">
        <f t="shared" si="14"/>
        <v>0</v>
      </c>
      <c r="F342" s="134">
        <f t="shared" si="14"/>
        <v>0</v>
      </c>
      <c r="G342" s="134">
        <f t="shared" si="14"/>
        <v>0</v>
      </c>
      <c r="H342" s="134">
        <f t="shared" si="14"/>
        <v>0</v>
      </c>
      <c r="I342" s="142">
        <f t="shared" si="14"/>
        <v>6.3786929274843363E-2</v>
      </c>
      <c r="J342" s="134">
        <f t="shared" si="14"/>
        <v>0</v>
      </c>
      <c r="K342" s="142">
        <f t="shared" si="14"/>
        <v>0</v>
      </c>
      <c r="L342" s="134">
        <f t="shared" si="14"/>
        <v>0</v>
      </c>
      <c r="M342" s="142">
        <f t="shared" si="14"/>
        <v>0.34913793103448276</v>
      </c>
      <c r="N342" s="135">
        <f t="shared" si="14"/>
        <v>0</v>
      </c>
    </row>
    <row r="343" spans="2:14" x14ac:dyDescent="0.2">
      <c r="B343" s="133">
        <f t="shared" si="14"/>
        <v>0</v>
      </c>
      <c r="C343" s="134">
        <f t="shared" si="14"/>
        <v>0</v>
      </c>
      <c r="D343" s="134">
        <f t="shared" si="14"/>
        <v>0</v>
      </c>
      <c r="E343" s="134">
        <f t="shared" si="14"/>
        <v>0</v>
      </c>
      <c r="F343" s="134">
        <f t="shared" si="14"/>
        <v>0</v>
      </c>
      <c r="G343" s="134">
        <f t="shared" si="14"/>
        <v>0</v>
      </c>
      <c r="H343" s="134">
        <f t="shared" si="14"/>
        <v>0</v>
      </c>
      <c r="I343" s="134">
        <f t="shared" si="14"/>
        <v>0</v>
      </c>
      <c r="J343" s="134">
        <f t="shared" si="14"/>
        <v>0</v>
      </c>
      <c r="K343" s="134">
        <f t="shared" si="14"/>
        <v>0</v>
      </c>
      <c r="L343" s="134">
        <f t="shared" si="14"/>
        <v>0</v>
      </c>
      <c r="M343" s="134">
        <f t="shared" si="14"/>
        <v>0</v>
      </c>
      <c r="N343" s="135">
        <f t="shared" si="14"/>
        <v>0</v>
      </c>
    </row>
    <row r="344" spans="2:14" x14ac:dyDescent="0.2">
      <c r="B344" s="133">
        <f t="shared" ref="B344:N344" si="15">B42</f>
        <v>0</v>
      </c>
      <c r="C344" s="134">
        <f t="shared" si="15"/>
        <v>0</v>
      </c>
      <c r="D344" s="134">
        <f t="shared" si="15"/>
        <v>0</v>
      </c>
      <c r="E344" s="134">
        <f t="shared" si="15"/>
        <v>0</v>
      </c>
      <c r="F344" s="134">
        <f t="shared" si="15"/>
        <v>0</v>
      </c>
      <c r="G344" s="134">
        <f t="shared" si="15"/>
        <v>0</v>
      </c>
      <c r="H344" s="134">
        <f t="shared" si="15"/>
        <v>0</v>
      </c>
      <c r="I344" s="134">
        <f t="shared" si="15"/>
        <v>0</v>
      </c>
      <c r="J344" s="134">
        <f t="shared" si="15"/>
        <v>0</v>
      </c>
      <c r="K344" s="134">
        <f t="shared" si="15"/>
        <v>0</v>
      </c>
      <c r="L344" s="134">
        <f t="shared" si="15"/>
        <v>0</v>
      </c>
      <c r="M344" s="134">
        <f t="shared" si="15"/>
        <v>0</v>
      </c>
      <c r="N344" s="135">
        <f t="shared" si="15"/>
        <v>0</v>
      </c>
    </row>
    <row r="345" spans="2:14" x14ac:dyDescent="0.2">
      <c r="B345" s="107" t="str">
        <f>CONCATENATE("ביקורת:   ",BikoretCode)</f>
        <v xml:space="preserve">ביקורת:   </v>
      </c>
    </row>
  </sheetData>
  <sheetProtection password="83C1" sheet="1" objects="1" scenarios="1"/>
  <mergeCells count="6">
    <mergeCell ref="B304:M304"/>
    <mergeCell ref="B305:M305"/>
    <mergeCell ref="C1:N1"/>
    <mergeCell ref="C2:N2"/>
    <mergeCell ref="C3:N3"/>
    <mergeCell ref="B303:M303"/>
  </mergeCells>
  <phoneticPr fontId="58" type="noConversion"/>
  <conditionalFormatting sqref="I16:M16 I24:M25 I36:M38 I338:M340 I318:M318 I311:M316 I326:M327 I321:M324 I19:M22 I9:M14">
    <cfRule type="expression" dxfId="2" priority="1" stopIfTrue="1">
      <formula>$O$1="לא"</formula>
    </cfRule>
  </conditionalFormatting>
  <dataValidations xWindow="576" yWindow="557" count="3">
    <dataValidation operator="lessThanOrEqual" allowBlank="1" sqref="L21:L22 J21:J22 H21:H22 F21:F22 D21:D22 D11 F11 H11 J11 L11 J13:J14 L13:L14 H13:H14 F13:F14 D13:D14"/>
    <dataValidation type="decimal" operator="lessThanOrEqual" allowBlank="1" showInputMessage="1" showErrorMessage="1" errorTitle="יישום הדוח הרבעוני" error="יש להזין נתון במינוס" prompt="יש להזין נתון במינוס" sqref="M21:M22 K21:K22 I21:I22 G21:G22 E21:E22 C21:C22 C13:C14 E13:E14 G13:G14 I13:I14 K13:K14 M13:M14">
      <formula1>0</formula1>
    </dataValidation>
    <dataValidation type="decimal" errorStyle="warning" operator="lessThanOrEqual" allowBlank="1" showInputMessage="1" showErrorMessage="1" errorTitle="יישום הדוח הרבעוני" error="יש להקליד מחיקת חובות במינוס" prompt="יש להזין נתון במינוס" sqref="C11 E11 G11 I11 K11 M11">
      <formula1>0</formula1>
    </dataValidation>
  </dataValidations>
  <hyperlinks>
    <hyperlink ref="A4" location="'תוכן הענינים'!A1" tooltip="לחץ להצגת גליון תוכן הענינים" display="הצג תוכן ענינים"/>
  </hyperlinks>
  <printOptions horizontalCentered="1"/>
  <pageMargins left="0.75" right="0.75" top="0.6" bottom="0.51" header="0.24" footer="0.36"/>
  <pageSetup paperSize="9" scale="89" orientation="landscape" blackAndWhite="1" verticalDpi="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31</vt:i4>
      </vt:variant>
    </vt:vector>
  </HeadingPairs>
  <TitlesOfParts>
    <vt:vector size="45" baseType="lpstr">
      <vt:lpstr>מקרא</vt:lpstr>
      <vt:lpstr>תוכן הענינים</vt:lpstr>
      <vt:lpstr>הגדרות כלליות</vt:lpstr>
      <vt:lpstr>בדיקות הצלבה</vt:lpstr>
      <vt:lpstr>תמצית מאזן</vt:lpstr>
      <vt:lpstr>תקציב רגיל</vt:lpstr>
      <vt:lpstr>תברים</vt:lpstr>
      <vt:lpstr>ריכוז תברים</vt:lpstr>
      <vt:lpstr>גבייה וחייבים</vt:lpstr>
      <vt:lpstr>ארנונה</vt:lpstr>
      <vt:lpstr>שכר ומשרות</vt:lpstr>
      <vt:lpstr>בעלי שכר גבוה</vt:lpstr>
      <vt:lpstr>הערות הרשות</vt:lpstr>
      <vt:lpstr>ביאורים 1, 2 א-ב ישן</vt:lpstr>
      <vt:lpstr>BikoretCode</vt:lpstr>
      <vt:lpstr>Date</vt:lpstr>
      <vt:lpstr>GufMevukar</vt:lpstr>
      <vt:lpstr>Ishur</vt:lpstr>
      <vt:lpstr>Month</vt:lpstr>
      <vt:lpstr>MonthTitle</vt:lpstr>
      <vt:lpstr>ארנונה!Print_Area</vt:lpstr>
      <vt:lpstr>'בדיקות הצלבה'!Print_Area</vt:lpstr>
      <vt:lpstr>'ביאורים 1, 2 א-ב ישן'!Print_Area</vt:lpstr>
      <vt:lpstr>'בעלי שכר גבוה'!Print_Area</vt:lpstr>
      <vt:lpstr>'גבייה וחייבים'!Print_Area</vt:lpstr>
      <vt:lpstr>'הגדרות כלליות'!Print_Area</vt:lpstr>
      <vt:lpstr>מקרא!Print_Area</vt:lpstr>
      <vt:lpstr>'ריכוז תברים'!Print_Area</vt:lpstr>
      <vt:lpstr>'שכר ומשרות'!Print_Area</vt:lpstr>
      <vt:lpstr>תברים!Print_Area</vt:lpstr>
      <vt:lpstr>'תוכן הענינים'!Print_Area</vt:lpstr>
      <vt:lpstr>'תמצית מאזן'!Print_Area</vt:lpstr>
      <vt:lpstr>'תקציב רגיל'!Print_Area</vt:lpstr>
      <vt:lpstr>ReportPeriod</vt:lpstr>
      <vt:lpstr>Shana</vt:lpstr>
      <vt:lpstr>ShanaKodemet</vt:lpstr>
      <vt:lpstr>טופס1</vt:lpstr>
      <vt:lpstr>טופס1ב</vt:lpstr>
      <vt:lpstr>טופס2</vt:lpstr>
      <vt:lpstr>טופס3</vt:lpstr>
      <vt:lpstr>טופס4</vt:lpstr>
      <vt:lpstr>טופס5</vt:lpstr>
      <vt:lpstr>טופס6</vt:lpstr>
      <vt:lpstr>טופס7</vt:lpstr>
      <vt:lpstr>טופס8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NehamaP</dc:creator>
  <cp:lastModifiedBy>‏‏משתמש Windows</cp:lastModifiedBy>
  <cp:lastPrinted>2017-02-27T13:48:05Z</cp:lastPrinted>
  <dcterms:created xsi:type="dcterms:W3CDTF">2003-12-01T13:23:06Z</dcterms:created>
  <dcterms:modified xsi:type="dcterms:W3CDTF">2018-01-11T12:19:04Z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AppVersion">
    <vt:lpwstr>2.0</vt:lpwstr>
  </property>
  <property fmtid="{D5CDD505-2E9C-101B-9397-08002B2CF9AE}" pid="3" name="FileSend">
    <vt:bool>false</vt:bool>
  </property>
  <property fmtid="{D5CDD505-2E9C-101B-9397-08002B2CF9AE}" pid="4" name="ExpirationDate">
    <vt:lpwstr>09/08/2015</vt:lpwstr>
  </property>
  <property fmtid="{D5CDD505-2E9C-101B-9397-08002B2CF9AE}" pid="5" name="DateCreatedMsg">
    <vt:lpwstr>אוגוסט 2005 (מהדורה ראשונה)</vt:lpwstr>
  </property>
  <property fmtid="{D5CDD505-2E9C-101B-9397-08002B2CF9AE}" pid="6" name="CurrentWordTemplateVersion">
    <vt:lpwstr>1.0</vt:lpwstr>
  </property>
</Properties>
</file>